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p001226\OneDrive - PRODAM Office 365\DIRAF\Orçamento 2026\"/>
    </mc:Choice>
  </mc:AlternateContent>
  <xr:revisionPtr revIDLastSave="5" documentId="11_218E7015AC6813689AFFFF8442011738CF1ACA42" xr6:coauthVersionLast="47" xr6:coauthVersionMax="47" xr10:uidLastSave="{A49987D3-4034-449C-BD18-56C27111C5D6}"/>
  <bookViews>
    <workbookView xWindow="0" yWindow="0" windowWidth="23040" windowHeight="9252" tabRatio="596" firstSheet="2" activeTab="3" xr2:uid="{00000000-000D-0000-FFFF-FFFF00000000}"/>
  </bookViews>
  <sheets>
    <sheet name="DESPESAS" sheetId="1" state="hidden" r:id="rId1"/>
    <sheet name="Receitas Gerais Previstas" sheetId="22" r:id="rId2"/>
    <sheet name="Despesas Gerais Previstas" sheetId="11" r:id="rId3"/>
    <sheet name="Trimestrais" sheetId="23" r:id="rId4"/>
    <sheet name="Plan1" sheetId="15" state="hidden" r:id="rId5"/>
    <sheet name="NOTAS FINAIS" sheetId="13" state="hidden" r:id="rId6"/>
    <sheet name="notas" sheetId="3" state="hidden" r:id="rId7"/>
    <sheet name="DESPESAS 2018Inv" sheetId="9" state="hidden" r:id="rId8"/>
    <sheet name="DESPESAS 2018" sheetId="10" state="hidden" r:id="rId9"/>
  </sheets>
  <definedNames>
    <definedName name="_xlnm._FilterDatabase" localSheetId="2" hidden="1">'Despesas Gerais Previstas'!$A$3:$T$310</definedName>
    <definedName name="_xlnm.Print_Area" localSheetId="2">'Despesas Gerais Previstas'!$A$2:$T$336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2" l="1"/>
  <c r="C44" i="22"/>
  <c r="F23" i="23" l="1"/>
  <c r="L229" i="11"/>
  <c r="J213" i="11"/>
  <c r="D213" i="11"/>
  <c r="O35" i="22"/>
  <c r="P208" i="11" l="1"/>
  <c r="B19" i="23" s="1"/>
  <c r="Q13" i="11"/>
  <c r="S301" i="11" l="1"/>
  <c r="S300" i="11"/>
  <c r="S299" i="11"/>
  <c r="S298" i="11"/>
  <c r="S297" i="11"/>
  <c r="S296" i="11"/>
  <c r="S295" i="11"/>
  <c r="S294" i="11"/>
  <c r="S293" i="11"/>
  <c r="S292" i="11"/>
  <c r="S291" i="11"/>
  <c r="S290" i="11"/>
  <c r="S289" i="11"/>
  <c r="S288" i="11"/>
  <c r="S287" i="11"/>
  <c r="S286" i="11"/>
  <c r="S285" i="11"/>
  <c r="S284" i="11"/>
  <c r="S283" i="11"/>
  <c r="S282" i="11"/>
  <c r="S281" i="11"/>
  <c r="S280" i="11"/>
  <c r="S279" i="11"/>
  <c r="S278" i="11"/>
  <c r="S277" i="11"/>
  <c r="S276" i="11"/>
  <c r="S275" i="11"/>
  <c r="S274" i="11"/>
  <c r="S273" i="11"/>
  <c r="S272" i="11"/>
  <c r="S271" i="11"/>
  <c r="S270" i="11"/>
  <c r="S269" i="11"/>
  <c r="S268" i="11"/>
  <c r="S267" i="11"/>
  <c r="S266" i="11"/>
  <c r="S265" i="11"/>
  <c r="S264" i="11"/>
  <c r="S263" i="11"/>
  <c r="S262" i="11"/>
  <c r="S261" i="11"/>
  <c r="S260" i="11"/>
  <c r="S259" i="11"/>
  <c r="S258" i="11"/>
  <c r="S257" i="11"/>
  <c r="S256" i="11"/>
  <c r="S255" i="11"/>
  <c r="S254" i="11"/>
  <c r="S253" i="11"/>
  <c r="S252" i="11"/>
  <c r="S251" i="11"/>
  <c r="S250" i="11"/>
  <c r="S249" i="11"/>
  <c r="S248" i="11"/>
  <c r="S247" i="11"/>
  <c r="S246" i="11"/>
  <c r="S245" i="11"/>
  <c r="S244" i="11"/>
  <c r="S243" i="11"/>
  <c r="S242" i="11"/>
  <c r="S241" i="11"/>
  <c r="S240" i="11"/>
  <c r="S239" i="11"/>
  <c r="S238" i="11"/>
  <c r="S237" i="11"/>
  <c r="S236" i="11"/>
  <c r="S235" i="11"/>
  <c r="S234" i="11"/>
  <c r="S233" i="11"/>
  <c r="S232" i="11"/>
  <c r="S231" i="11"/>
  <c r="R301" i="11"/>
  <c r="R300" i="11"/>
  <c r="R299" i="11"/>
  <c r="R298" i="11"/>
  <c r="R297" i="11"/>
  <c r="R296" i="11"/>
  <c r="R295" i="11"/>
  <c r="R294" i="11"/>
  <c r="R293" i="11"/>
  <c r="R292" i="11"/>
  <c r="R291" i="11"/>
  <c r="R290" i="11"/>
  <c r="R289" i="11"/>
  <c r="R288" i="11"/>
  <c r="R287" i="11"/>
  <c r="R286" i="11"/>
  <c r="R285" i="11"/>
  <c r="R284" i="11"/>
  <c r="R283" i="11"/>
  <c r="R282" i="11"/>
  <c r="R281" i="11"/>
  <c r="R280" i="11"/>
  <c r="R279" i="11"/>
  <c r="R278" i="11"/>
  <c r="R277" i="11"/>
  <c r="R276" i="11"/>
  <c r="R275" i="11"/>
  <c r="R274" i="11"/>
  <c r="R273" i="11"/>
  <c r="R272" i="11"/>
  <c r="R271" i="11"/>
  <c r="R270" i="11"/>
  <c r="R269" i="11"/>
  <c r="R268" i="11"/>
  <c r="R267" i="11"/>
  <c r="R266" i="11"/>
  <c r="R265" i="11"/>
  <c r="R264" i="11"/>
  <c r="R263" i="11"/>
  <c r="R262" i="11"/>
  <c r="R261" i="11"/>
  <c r="R260" i="11"/>
  <c r="R259" i="11"/>
  <c r="R258" i="11"/>
  <c r="R257" i="11"/>
  <c r="R256" i="11"/>
  <c r="R255" i="11"/>
  <c r="R254" i="11"/>
  <c r="R253" i="11"/>
  <c r="R252" i="11"/>
  <c r="R251" i="11"/>
  <c r="R250" i="11"/>
  <c r="R249" i="11"/>
  <c r="R248" i="11"/>
  <c r="R247" i="11"/>
  <c r="R246" i="11"/>
  <c r="R245" i="11"/>
  <c r="R244" i="11"/>
  <c r="R243" i="11"/>
  <c r="R242" i="11"/>
  <c r="R241" i="11"/>
  <c r="R240" i="11"/>
  <c r="R239" i="11"/>
  <c r="R238" i="11"/>
  <c r="R237" i="11"/>
  <c r="R236" i="11"/>
  <c r="R235" i="11"/>
  <c r="R234" i="11"/>
  <c r="R233" i="11"/>
  <c r="R232" i="11"/>
  <c r="R231" i="11"/>
  <c r="Q301" i="11"/>
  <c r="Q300" i="11"/>
  <c r="Q299" i="11"/>
  <c r="Q298" i="11"/>
  <c r="Q297" i="11"/>
  <c r="Q296" i="11"/>
  <c r="Q295" i="11"/>
  <c r="Q294" i="11"/>
  <c r="Q293" i="11"/>
  <c r="Q292" i="11"/>
  <c r="Q291" i="11"/>
  <c r="Q290" i="11"/>
  <c r="Q289" i="11"/>
  <c r="Q288" i="11"/>
  <c r="Q287" i="11"/>
  <c r="Q286" i="11"/>
  <c r="Q285" i="11"/>
  <c r="Q284" i="11"/>
  <c r="Q283" i="11"/>
  <c r="Q282" i="11"/>
  <c r="Q281" i="11"/>
  <c r="Q280" i="11"/>
  <c r="Q279" i="11"/>
  <c r="Q278" i="11"/>
  <c r="Q277" i="11"/>
  <c r="Q276" i="11"/>
  <c r="Q275" i="11"/>
  <c r="Q274" i="11"/>
  <c r="Q273" i="11"/>
  <c r="Q272" i="11"/>
  <c r="Q271" i="11"/>
  <c r="Q270" i="11"/>
  <c r="Q269" i="11"/>
  <c r="Q268" i="11"/>
  <c r="Q267" i="11"/>
  <c r="Q266" i="11"/>
  <c r="Q265" i="11"/>
  <c r="Q264" i="11"/>
  <c r="Q263" i="11"/>
  <c r="Q262" i="11"/>
  <c r="Q261" i="11"/>
  <c r="Q260" i="11"/>
  <c r="Q259" i="11"/>
  <c r="Q258" i="11"/>
  <c r="Q257" i="11"/>
  <c r="Q256" i="11"/>
  <c r="Q255" i="11"/>
  <c r="Q254" i="11"/>
  <c r="Q253" i="11"/>
  <c r="Q252" i="11"/>
  <c r="Q251" i="11"/>
  <c r="Q250" i="11"/>
  <c r="Q249" i="11"/>
  <c r="Q248" i="11"/>
  <c r="Q247" i="11"/>
  <c r="Q246" i="11"/>
  <c r="Q245" i="11"/>
  <c r="Q244" i="11"/>
  <c r="Q243" i="11"/>
  <c r="Q242" i="11"/>
  <c r="Q241" i="11"/>
  <c r="Q240" i="11"/>
  <c r="Q239" i="11"/>
  <c r="Q238" i="11"/>
  <c r="Q237" i="11"/>
  <c r="Q236" i="11"/>
  <c r="Q235" i="11"/>
  <c r="Q234" i="11"/>
  <c r="Q233" i="11"/>
  <c r="Q232" i="11"/>
  <c r="Q231" i="11"/>
  <c r="P301" i="11"/>
  <c r="P300" i="11"/>
  <c r="P299" i="11"/>
  <c r="P298" i="11"/>
  <c r="P297" i="11"/>
  <c r="P296" i="11"/>
  <c r="P295" i="11"/>
  <c r="P294" i="11"/>
  <c r="P293" i="11"/>
  <c r="P292" i="11"/>
  <c r="P291" i="11"/>
  <c r="P290" i="11"/>
  <c r="P289" i="11"/>
  <c r="P288" i="11"/>
  <c r="P287" i="11"/>
  <c r="P286" i="11"/>
  <c r="P285" i="11"/>
  <c r="P284" i="11"/>
  <c r="P283" i="11"/>
  <c r="P282" i="11"/>
  <c r="P281" i="11"/>
  <c r="P280" i="11"/>
  <c r="P279" i="11"/>
  <c r="P278" i="11"/>
  <c r="P277" i="11"/>
  <c r="P276" i="11"/>
  <c r="P275" i="11"/>
  <c r="P274" i="11"/>
  <c r="P273" i="11"/>
  <c r="P272" i="11"/>
  <c r="P271" i="11"/>
  <c r="P270" i="11"/>
  <c r="P269" i="11"/>
  <c r="P268" i="11"/>
  <c r="P267" i="11"/>
  <c r="P266" i="11"/>
  <c r="P265" i="11"/>
  <c r="P264" i="11"/>
  <c r="P263" i="11"/>
  <c r="P262" i="11"/>
  <c r="P261" i="11"/>
  <c r="P260" i="11"/>
  <c r="P259" i="11"/>
  <c r="P258" i="11"/>
  <c r="P257" i="11"/>
  <c r="P256" i="11"/>
  <c r="P255" i="11"/>
  <c r="P254" i="11"/>
  <c r="P253" i="11"/>
  <c r="P252" i="11"/>
  <c r="P251" i="11"/>
  <c r="P250" i="11"/>
  <c r="P249" i="11"/>
  <c r="P248" i="11"/>
  <c r="P247" i="11"/>
  <c r="P246" i="11"/>
  <c r="P245" i="11"/>
  <c r="P244" i="11"/>
  <c r="P243" i="11"/>
  <c r="P242" i="11"/>
  <c r="P241" i="11"/>
  <c r="P240" i="11"/>
  <c r="P239" i="11"/>
  <c r="P238" i="11"/>
  <c r="P237" i="11"/>
  <c r="P236" i="11"/>
  <c r="P235" i="11"/>
  <c r="P234" i="11"/>
  <c r="P233" i="11"/>
  <c r="P232" i="11"/>
  <c r="O302" i="11"/>
  <c r="N302" i="11"/>
  <c r="M302" i="11"/>
  <c r="L302" i="11"/>
  <c r="K302" i="11"/>
  <c r="J302" i="11"/>
  <c r="I302" i="11"/>
  <c r="H302" i="11"/>
  <c r="G302" i="11"/>
  <c r="F302" i="11"/>
  <c r="E302" i="11"/>
  <c r="D302" i="11"/>
  <c r="S228" i="11"/>
  <c r="S227" i="11"/>
  <c r="S226" i="11"/>
  <c r="S225" i="11"/>
  <c r="S224" i="11"/>
  <c r="S223" i="11"/>
  <c r="S222" i="11"/>
  <c r="S221" i="11"/>
  <c r="S220" i="11"/>
  <c r="E20" i="23" s="1"/>
  <c r="S219" i="11"/>
  <c r="S218" i="11"/>
  <c r="S217" i="11"/>
  <c r="S216" i="11"/>
  <c r="S215" i="11"/>
  <c r="R228" i="11"/>
  <c r="R227" i="11"/>
  <c r="R226" i="11"/>
  <c r="R225" i="11"/>
  <c r="R224" i="11"/>
  <c r="R223" i="11"/>
  <c r="R222" i="11"/>
  <c r="R221" i="11"/>
  <c r="R220" i="11"/>
  <c r="D20" i="23" s="1"/>
  <c r="R219" i="11"/>
  <c r="R218" i="11"/>
  <c r="R217" i="11"/>
  <c r="R216" i="11"/>
  <c r="R215" i="11"/>
  <c r="Q228" i="11"/>
  <c r="Q227" i="11"/>
  <c r="Q226" i="11"/>
  <c r="Q225" i="11"/>
  <c r="Q224" i="11"/>
  <c r="Q223" i="11"/>
  <c r="Q222" i="11"/>
  <c r="Q221" i="11"/>
  <c r="Q220" i="11"/>
  <c r="C20" i="23" s="1"/>
  <c r="Q219" i="11"/>
  <c r="Q218" i="11"/>
  <c r="Q217" i="11"/>
  <c r="Q216" i="11"/>
  <c r="Q215" i="11"/>
  <c r="P228" i="11"/>
  <c r="P227" i="11"/>
  <c r="P226" i="11"/>
  <c r="P225" i="11"/>
  <c r="P224" i="11"/>
  <c r="P223" i="11"/>
  <c r="P222" i="11"/>
  <c r="P221" i="11"/>
  <c r="P220" i="11"/>
  <c r="B20" i="23" s="1"/>
  <c r="P219" i="11"/>
  <c r="P218" i="11"/>
  <c r="P217" i="11"/>
  <c r="P216" i="11"/>
  <c r="T212" i="11"/>
  <c r="T211" i="11"/>
  <c r="T210" i="11"/>
  <c r="T209" i="11"/>
  <c r="T208" i="11"/>
  <c r="T207" i="11"/>
  <c r="T206" i="11"/>
  <c r="T205" i="11"/>
  <c r="T204" i="11"/>
  <c r="T203" i="11"/>
  <c r="T202" i="11"/>
  <c r="T201" i="11"/>
  <c r="T200" i="11"/>
  <c r="T199" i="11"/>
  <c r="T198" i="11"/>
  <c r="T197" i="11"/>
  <c r="T196" i="11"/>
  <c r="T195" i="11"/>
  <c r="T194" i="11"/>
  <c r="S212" i="11"/>
  <c r="S211" i="11"/>
  <c r="S210" i="11"/>
  <c r="S209" i="11"/>
  <c r="S208" i="11"/>
  <c r="E19" i="23" s="1"/>
  <c r="S207" i="11"/>
  <c r="S206" i="11"/>
  <c r="S205" i="11"/>
  <c r="S204" i="11"/>
  <c r="S203" i="11"/>
  <c r="S202" i="11"/>
  <c r="S201" i="11"/>
  <c r="S200" i="11"/>
  <c r="S199" i="11"/>
  <c r="S198" i="11"/>
  <c r="S197" i="11"/>
  <c r="S196" i="11"/>
  <c r="S195" i="11"/>
  <c r="S194" i="11"/>
  <c r="S193" i="11"/>
  <c r="R212" i="11"/>
  <c r="R211" i="11"/>
  <c r="R210" i="11"/>
  <c r="R209" i="11"/>
  <c r="R208" i="11"/>
  <c r="D19" i="23" s="1"/>
  <c r="R207" i="11"/>
  <c r="R206" i="11"/>
  <c r="R205" i="11"/>
  <c r="R204" i="11"/>
  <c r="R203" i="11"/>
  <c r="R202" i="11"/>
  <c r="R201" i="11"/>
  <c r="R200" i="11"/>
  <c r="R199" i="11"/>
  <c r="R198" i="11"/>
  <c r="R197" i="11"/>
  <c r="R196" i="11"/>
  <c r="R195" i="11"/>
  <c r="R194" i="11"/>
  <c r="R193" i="11"/>
  <c r="Q212" i="11"/>
  <c r="Q211" i="11"/>
  <c r="Q210" i="11"/>
  <c r="Q209" i="11"/>
  <c r="Q208" i="11"/>
  <c r="C19" i="23" s="1"/>
  <c r="Q207" i="11"/>
  <c r="Q206" i="11"/>
  <c r="Q205" i="11"/>
  <c r="Q204" i="11"/>
  <c r="Q203" i="11"/>
  <c r="Q202" i="11"/>
  <c r="Q201" i="11"/>
  <c r="Q200" i="11"/>
  <c r="Q199" i="11"/>
  <c r="Q198" i="11"/>
  <c r="Q197" i="11"/>
  <c r="Q196" i="11"/>
  <c r="Q195" i="11"/>
  <c r="Q194" i="11"/>
  <c r="Q193" i="11"/>
  <c r="P212" i="11"/>
  <c r="P211" i="11"/>
  <c r="P210" i="11"/>
  <c r="P209" i="11"/>
  <c r="P207" i="11"/>
  <c r="P206" i="11"/>
  <c r="P205" i="11"/>
  <c r="P204" i="11"/>
  <c r="P203" i="11"/>
  <c r="P202" i="11"/>
  <c r="P201" i="11"/>
  <c r="P200" i="11"/>
  <c r="P199" i="11"/>
  <c r="P198" i="11"/>
  <c r="P197" i="11"/>
  <c r="P196" i="11"/>
  <c r="P195" i="11"/>
  <c r="P194" i="11"/>
  <c r="S190" i="11"/>
  <c r="S189" i="11"/>
  <c r="S188" i="11"/>
  <c r="S187" i="11"/>
  <c r="S186" i="11"/>
  <c r="R190" i="11"/>
  <c r="R189" i="11"/>
  <c r="R188" i="11"/>
  <c r="R187" i="11"/>
  <c r="R186" i="11"/>
  <c r="Q190" i="11"/>
  <c r="Q189" i="11"/>
  <c r="Q188" i="11"/>
  <c r="Q187" i="11"/>
  <c r="Q186" i="11"/>
  <c r="P190" i="11"/>
  <c r="P189" i="11"/>
  <c r="P188" i="11"/>
  <c r="P187" i="11"/>
  <c r="S183" i="11"/>
  <c r="S182" i="11"/>
  <c r="S181" i="11"/>
  <c r="S180" i="11"/>
  <c r="S179" i="11"/>
  <c r="S178" i="11"/>
  <c r="S177" i="11"/>
  <c r="S176" i="11"/>
  <c r="S175" i="11"/>
  <c r="R183" i="11"/>
  <c r="R182" i="11"/>
  <c r="R181" i="11"/>
  <c r="R180" i="11"/>
  <c r="R179" i="11"/>
  <c r="R178" i="11"/>
  <c r="R177" i="11"/>
  <c r="R176" i="11"/>
  <c r="R175" i="11"/>
  <c r="Q183" i="11"/>
  <c r="Q182" i="11"/>
  <c r="Q181" i="11"/>
  <c r="Q180" i="11"/>
  <c r="Q179" i="11"/>
  <c r="Q178" i="11"/>
  <c r="Q177" i="11"/>
  <c r="Q176" i="11"/>
  <c r="Q175" i="11"/>
  <c r="P183" i="11"/>
  <c r="P182" i="11"/>
  <c r="P181" i="11"/>
  <c r="P180" i="11"/>
  <c r="P179" i="11"/>
  <c r="P178" i="11"/>
  <c r="P177" i="11"/>
  <c r="P176" i="11"/>
  <c r="P175" i="11"/>
  <c r="S174" i="11"/>
  <c r="R174" i="11"/>
  <c r="Q174" i="11"/>
  <c r="S171" i="11"/>
  <c r="S170" i="11"/>
  <c r="S169" i="11"/>
  <c r="S168" i="11"/>
  <c r="S167" i="11"/>
  <c r="S166" i="11"/>
  <c r="S165" i="11"/>
  <c r="S164" i="11"/>
  <c r="S163" i="11"/>
  <c r="S162" i="11"/>
  <c r="S161" i="11"/>
  <c r="S160" i="11"/>
  <c r="S159" i="11"/>
  <c r="S158" i="11"/>
  <c r="S157" i="11"/>
  <c r="S156" i="11"/>
  <c r="S155" i="11"/>
  <c r="S154" i="11"/>
  <c r="S153" i="11"/>
  <c r="S152" i="11"/>
  <c r="S151" i="11"/>
  <c r="R171" i="11"/>
  <c r="R170" i="11"/>
  <c r="R169" i="11"/>
  <c r="R168" i="11"/>
  <c r="R167" i="11"/>
  <c r="R166" i="11"/>
  <c r="R165" i="11"/>
  <c r="R164" i="11"/>
  <c r="R163" i="11"/>
  <c r="R162" i="11"/>
  <c r="R161" i="11"/>
  <c r="R160" i="11"/>
  <c r="R159" i="11"/>
  <c r="R158" i="11"/>
  <c r="R157" i="11"/>
  <c r="R156" i="11"/>
  <c r="R155" i="11"/>
  <c r="R154" i="11"/>
  <c r="R153" i="11"/>
  <c r="R152" i="11"/>
  <c r="R151" i="11"/>
  <c r="Q171" i="11"/>
  <c r="Q170" i="11"/>
  <c r="Q169" i="11"/>
  <c r="Q168" i="11"/>
  <c r="Q167" i="11"/>
  <c r="Q166" i="11"/>
  <c r="Q165" i="11"/>
  <c r="Q164" i="11"/>
  <c r="Q163" i="11"/>
  <c r="Q162" i="11"/>
  <c r="Q161" i="11"/>
  <c r="Q160" i="11"/>
  <c r="Q159" i="11"/>
  <c r="Q158" i="11"/>
  <c r="Q157" i="11"/>
  <c r="Q156" i="11"/>
  <c r="Q155" i="11"/>
  <c r="Q154" i="11"/>
  <c r="Q153" i="11"/>
  <c r="Q152" i="11"/>
  <c r="Q151" i="11"/>
  <c r="P171" i="11"/>
  <c r="P170" i="11"/>
  <c r="P169" i="11"/>
  <c r="P168" i="11"/>
  <c r="P167" i="11"/>
  <c r="P166" i="11"/>
  <c r="P165" i="11"/>
  <c r="P164" i="11"/>
  <c r="P163" i="11"/>
  <c r="P162" i="11"/>
  <c r="P161" i="11"/>
  <c r="P160" i="11"/>
  <c r="P159" i="11"/>
  <c r="P158" i="11"/>
  <c r="P157" i="11"/>
  <c r="P156" i="11"/>
  <c r="P155" i="11"/>
  <c r="P154" i="11"/>
  <c r="P153" i="11"/>
  <c r="P152" i="11"/>
  <c r="P151" i="11"/>
  <c r="S150" i="11"/>
  <c r="R150" i="11"/>
  <c r="Q150" i="11"/>
  <c r="T142" i="11"/>
  <c r="T141" i="11"/>
  <c r="S147" i="11"/>
  <c r="S146" i="11"/>
  <c r="S145" i="11"/>
  <c r="S144" i="11"/>
  <c r="S143" i="11"/>
  <c r="S142" i="11"/>
  <c r="S141" i="11"/>
  <c r="S140" i="11"/>
  <c r="S139" i="11"/>
  <c r="S138" i="11"/>
  <c r="S137" i="11"/>
  <c r="S136" i="11"/>
  <c r="S135" i="11"/>
  <c r="S134" i="11"/>
  <c r="S133" i="11"/>
  <c r="S132" i="11"/>
  <c r="S131" i="11"/>
  <c r="S130" i="11"/>
  <c r="S128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Q128" i="11"/>
  <c r="Q129" i="11"/>
  <c r="Q130" i="11"/>
  <c r="Q131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P128" i="11"/>
  <c r="P129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S127" i="11"/>
  <c r="R127" i="11"/>
  <c r="Q127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P44" i="11"/>
  <c r="P45" i="11"/>
  <c r="P46" i="11"/>
  <c r="P47" i="11"/>
  <c r="P48" i="11"/>
  <c r="P49" i="11"/>
  <c r="P50" i="11"/>
  <c r="P51" i="11"/>
  <c r="P52" i="11"/>
  <c r="P54" i="11"/>
  <c r="P55" i="11"/>
  <c r="P56" i="11"/>
  <c r="P57" i="11"/>
  <c r="R43" i="11"/>
  <c r="Q43" i="11"/>
  <c r="P43" i="11"/>
  <c r="T44" i="11"/>
  <c r="T45" i="11"/>
  <c r="T46" i="11"/>
  <c r="T47" i="11"/>
  <c r="T48" i="11"/>
  <c r="T49" i="11"/>
  <c r="T50" i="11"/>
  <c r="T51" i="11"/>
  <c r="T52" i="11"/>
  <c r="T54" i="11"/>
  <c r="T55" i="11"/>
  <c r="T56" i="11"/>
  <c r="T57" i="11"/>
  <c r="S39" i="11"/>
  <c r="S40" i="11"/>
  <c r="P39" i="11"/>
  <c r="P40" i="11"/>
  <c r="Q39" i="11"/>
  <c r="Q40" i="11"/>
  <c r="R39" i="11"/>
  <c r="R40" i="11"/>
  <c r="S38" i="11"/>
  <c r="R38" i="11"/>
  <c r="Q38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2" i="11"/>
  <c r="Q11" i="11"/>
  <c r="Q10" i="11"/>
  <c r="Q9" i="11"/>
  <c r="Q8" i="11"/>
  <c r="Q7" i="11"/>
  <c r="Q6" i="11"/>
  <c r="Q5" i="11"/>
  <c r="Q4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B9" i="23" s="1"/>
  <c r="P12" i="11"/>
  <c r="P11" i="11"/>
  <c r="P10" i="11"/>
  <c r="P9" i="11"/>
  <c r="P8" i="11"/>
  <c r="P7" i="11"/>
  <c r="P6" i="11"/>
  <c r="P5" i="11"/>
  <c r="E148" i="11"/>
  <c r="D148" i="11"/>
  <c r="F172" i="11"/>
  <c r="F20" i="23" l="1"/>
  <c r="S302" i="11"/>
  <c r="P302" i="11"/>
  <c r="B6" i="23" s="1"/>
  <c r="T175" i="11"/>
  <c r="T176" i="11"/>
  <c r="T177" i="11"/>
  <c r="T178" i="11"/>
  <c r="T179" i="11"/>
  <c r="T180" i="11"/>
  <c r="T181" i="11"/>
  <c r="T182" i="11"/>
  <c r="T183" i="11"/>
  <c r="T174" i="11"/>
  <c r="E184" i="11"/>
  <c r="F184" i="11"/>
  <c r="G184" i="11"/>
  <c r="H184" i="11"/>
  <c r="I184" i="11"/>
  <c r="J184" i="11"/>
  <c r="K184" i="11"/>
  <c r="L184" i="11"/>
  <c r="M184" i="11"/>
  <c r="N184" i="11"/>
  <c r="O184" i="11"/>
  <c r="D184" i="11"/>
  <c r="T171" i="11"/>
  <c r="T170" i="11"/>
  <c r="T169" i="11"/>
  <c r="T168" i="11"/>
  <c r="T167" i="11"/>
  <c r="T166" i="11"/>
  <c r="T165" i="11"/>
  <c r="T164" i="11"/>
  <c r="T163" i="11"/>
  <c r="T162" i="11"/>
  <c r="T161" i="11"/>
  <c r="T160" i="11"/>
  <c r="T159" i="11"/>
  <c r="T158" i="11"/>
  <c r="T157" i="11"/>
  <c r="T156" i="11"/>
  <c r="T155" i="11"/>
  <c r="T154" i="11"/>
  <c r="T153" i="11"/>
  <c r="T152" i="11"/>
  <c r="T151" i="11"/>
  <c r="T150" i="11"/>
  <c r="E172" i="11"/>
  <c r="G172" i="11"/>
  <c r="H172" i="11"/>
  <c r="I172" i="11"/>
  <c r="J172" i="11"/>
  <c r="K172" i="11"/>
  <c r="L172" i="11"/>
  <c r="M172" i="11"/>
  <c r="N172" i="11"/>
  <c r="O172" i="11"/>
  <c r="D172" i="11"/>
  <c r="T128" i="11"/>
  <c r="T131" i="11"/>
  <c r="T134" i="11"/>
  <c r="T135" i="11"/>
  <c r="T136" i="11"/>
  <c r="T137" i="11"/>
  <c r="T138" i="11"/>
  <c r="T139" i="11"/>
  <c r="T140" i="11"/>
  <c r="T143" i="11"/>
  <c r="T144" i="11"/>
  <c r="T127" i="11"/>
  <c r="H148" i="11"/>
  <c r="I148" i="11"/>
  <c r="J148" i="11"/>
  <c r="K148" i="11"/>
  <c r="L148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94" i="11"/>
  <c r="E125" i="11"/>
  <c r="F125" i="11"/>
  <c r="G125" i="11"/>
  <c r="H125" i="11"/>
  <c r="I125" i="11"/>
  <c r="J125" i="11"/>
  <c r="K125" i="11"/>
  <c r="L125" i="11"/>
  <c r="M125" i="11"/>
  <c r="N125" i="11"/>
  <c r="O125" i="11"/>
  <c r="D125" i="11"/>
  <c r="T87" i="11"/>
  <c r="T88" i="11"/>
  <c r="T89" i="11"/>
  <c r="T90" i="11"/>
  <c r="T91" i="11"/>
  <c r="T81" i="11"/>
  <c r="T82" i="11"/>
  <c r="T83" i="11"/>
  <c r="T84" i="11"/>
  <c r="T85" i="11"/>
  <c r="T86" i="11"/>
  <c r="T80" i="11"/>
  <c r="T78" i="11"/>
  <c r="D92" i="11"/>
  <c r="T75" i="11"/>
  <c r="T74" i="11"/>
  <c r="E76" i="11"/>
  <c r="F76" i="11"/>
  <c r="G76" i="11"/>
  <c r="H76" i="11"/>
  <c r="I76" i="11"/>
  <c r="J76" i="11"/>
  <c r="K76" i="11"/>
  <c r="L76" i="11"/>
  <c r="M76" i="11"/>
  <c r="N76" i="11"/>
  <c r="O76" i="11"/>
  <c r="D76" i="11"/>
  <c r="D72" i="11"/>
  <c r="F58" i="11"/>
  <c r="G58" i="11"/>
  <c r="H58" i="11"/>
  <c r="I58" i="11"/>
  <c r="J58" i="11"/>
  <c r="K58" i="11"/>
  <c r="L58" i="11"/>
  <c r="M58" i="11"/>
  <c r="N58" i="11"/>
  <c r="O58" i="11"/>
  <c r="D58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9" i="11"/>
  <c r="T40" i="11"/>
  <c r="T38" i="11"/>
  <c r="E41" i="11"/>
  <c r="F41" i="11"/>
  <c r="G41" i="11"/>
  <c r="H41" i="11"/>
  <c r="I41" i="11"/>
  <c r="J41" i="11"/>
  <c r="K41" i="11"/>
  <c r="L41" i="11"/>
  <c r="M41" i="11"/>
  <c r="N41" i="11"/>
  <c r="O41" i="11"/>
  <c r="D41" i="11"/>
  <c r="E36" i="11"/>
  <c r="F36" i="11"/>
  <c r="G36" i="11"/>
  <c r="H36" i="11"/>
  <c r="I36" i="11"/>
  <c r="J36" i="11"/>
  <c r="K36" i="11"/>
  <c r="L36" i="11"/>
  <c r="M36" i="11"/>
  <c r="N36" i="11"/>
  <c r="O36" i="11"/>
  <c r="D36" i="11"/>
  <c r="C43" i="22"/>
  <c r="D43" i="22"/>
  <c r="C30" i="22"/>
  <c r="C27" i="22"/>
  <c r="D16" i="22"/>
  <c r="E16" i="22"/>
  <c r="F16" i="22"/>
  <c r="G16" i="22"/>
  <c r="H16" i="22"/>
  <c r="I16" i="22"/>
  <c r="J16" i="22"/>
  <c r="K16" i="22"/>
  <c r="L16" i="22"/>
  <c r="M16" i="22"/>
  <c r="N16" i="22"/>
  <c r="C16" i="22"/>
  <c r="C12" i="22"/>
  <c r="D9" i="22"/>
  <c r="E9" i="22"/>
  <c r="F9" i="22"/>
  <c r="G9" i="22"/>
  <c r="H9" i="22"/>
  <c r="I9" i="22"/>
  <c r="J9" i="22"/>
  <c r="K9" i="22"/>
  <c r="L9" i="22"/>
  <c r="M9" i="22"/>
  <c r="N9" i="22"/>
  <c r="C9" i="22"/>
  <c r="O5" i="22"/>
  <c r="O6" i="22"/>
  <c r="T41" i="11" l="1"/>
  <c r="R41" i="11"/>
  <c r="R36" i="11"/>
  <c r="P184" i="11"/>
  <c r="T184" i="11"/>
  <c r="Q172" i="11"/>
  <c r="S172" i="11"/>
  <c r="P172" i="11"/>
  <c r="R172" i="11"/>
  <c r="R148" i="11"/>
  <c r="Q41" i="11"/>
  <c r="P41" i="11"/>
  <c r="S41" i="11"/>
  <c r="Q36" i="11"/>
  <c r="P36" i="11"/>
  <c r="S36" i="11"/>
  <c r="T76" i="11"/>
  <c r="T172" i="11"/>
  <c r="T125" i="11"/>
  <c r="O9" i="22"/>
  <c r="N23" i="22"/>
  <c r="M23" i="22"/>
  <c r="L23" i="22"/>
  <c r="K23" i="22"/>
  <c r="J23" i="22"/>
  <c r="I23" i="22"/>
  <c r="H23" i="22"/>
  <c r="G23" i="22"/>
  <c r="F23" i="22"/>
  <c r="E23" i="22"/>
  <c r="D23" i="22"/>
  <c r="D27" i="22" s="1"/>
  <c r="T67" i="11"/>
  <c r="N21" i="22"/>
  <c r="N27" i="22" s="1"/>
  <c r="M21" i="22"/>
  <c r="M27" i="22" s="1"/>
  <c r="L21" i="22"/>
  <c r="L27" i="22" s="1"/>
  <c r="K21" i="22"/>
  <c r="K27" i="22" s="1"/>
  <c r="J21" i="22"/>
  <c r="J27" i="22" s="1"/>
  <c r="I21" i="22"/>
  <c r="I27" i="22" s="1"/>
  <c r="H21" i="22"/>
  <c r="H27" i="22" s="1"/>
  <c r="G21" i="22"/>
  <c r="G27" i="22" s="1"/>
  <c r="F21" i="22"/>
  <c r="F27" i="22" s="1"/>
  <c r="E21" i="22"/>
  <c r="E27" i="22" s="1"/>
  <c r="D12" i="22"/>
  <c r="E12" i="22"/>
  <c r="F12" i="22"/>
  <c r="G12" i="22"/>
  <c r="H12" i="22"/>
  <c r="I12" i="22"/>
  <c r="J12" i="22"/>
  <c r="K12" i="22"/>
  <c r="L12" i="22"/>
  <c r="M12" i="22"/>
  <c r="N12" i="22"/>
  <c r="T257" i="11"/>
  <c r="T258" i="11"/>
  <c r="T259" i="11"/>
  <c r="T262" i="11"/>
  <c r="T263" i="11"/>
  <c r="T260" i="11"/>
  <c r="T261" i="11"/>
  <c r="T293" i="11"/>
  <c r="T69" i="11"/>
  <c r="F22" i="23"/>
  <c r="P231" i="11"/>
  <c r="E21" i="23"/>
  <c r="D21" i="23"/>
  <c r="C21" i="23"/>
  <c r="B21" i="23"/>
  <c r="P215" i="11"/>
  <c r="P193" i="11"/>
  <c r="E24" i="23"/>
  <c r="D24" i="23"/>
  <c r="C24" i="23"/>
  <c r="B24" i="23"/>
  <c r="P186" i="11"/>
  <c r="P174" i="11"/>
  <c r="P150" i="11"/>
  <c r="P127" i="11"/>
  <c r="P94" i="11"/>
  <c r="S91" i="11"/>
  <c r="R91" i="11"/>
  <c r="Q91" i="11"/>
  <c r="P91" i="11"/>
  <c r="S90" i="11"/>
  <c r="R90" i="11"/>
  <c r="Q90" i="11"/>
  <c r="P90" i="11"/>
  <c r="S89" i="11"/>
  <c r="R89" i="11"/>
  <c r="Q89" i="11"/>
  <c r="P89" i="11"/>
  <c r="S88" i="11"/>
  <c r="R88" i="11"/>
  <c r="Q88" i="11"/>
  <c r="P88" i="11"/>
  <c r="S87" i="11"/>
  <c r="R87" i="11"/>
  <c r="Q87" i="11"/>
  <c r="P87" i="11"/>
  <c r="S86" i="11"/>
  <c r="R86" i="11"/>
  <c r="Q86" i="11"/>
  <c r="P86" i="11"/>
  <c r="S85" i="11"/>
  <c r="R85" i="11"/>
  <c r="Q85" i="11"/>
  <c r="P85" i="11"/>
  <c r="S82" i="11"/>
  <c r="R82" i="11"/>
  <c r="Q82" i="11"/>
  <c r="P82" i="11"/>
  <c r="S78" i="11"/>
  <c r="R78" i="11"/>
  <c r="Q78" i="11"/>
  <c r="P78" i="11"/>
  <c r="S75" i="11"/>
  <c r="R75" i="11"/>
  <c r="Q75" i="11"/>
  <c r="P75" i="11"/>
  <c r="S74" i="11"/>
  <c r="R74" i="11"/>
  <c r="Q74" i="11"/>
  <c r="P74" i="11"/>
  <c r="S71" i="11"/>
  <c r="R71" i="11"/>
  <c r="Q71" i="11"/>
  <c r="P71" i="11"/>
  <c r="S70" i="11"/>
  <c r="R70" i="11"/>
  <c r="Q70" i="11"/>
  <c r="P70" i="11"/>
  <c r="S68" i="11"/>
  <c r="R68" i="11"/>
  <c r="Q68" i="11"/>
  <c r="P68" i="11"/>
  <c r="S67" i="11"/>
  <c r="R67" i="11"/>
  <c r="Q67" i="11"/>
  <c r="P67" i="11"/>
  <c r="S66" i="11"/>
  <c r="R66" i="11"/>
  <c r="Q66" i="11"/>
  <c r="P66" i="11"/>
  <c r="S65" i="11"/>
  <c r="R65" i="11"/>
  <c r="Q65" i="11"/>
  <c r="P65" i="11"/>
  <c r="S64" i="11"/>
  <c r="R64" i="11"/>
  <c r="Q64" i="11"/>
  <c r="P64" i="11"/>
  <c r="S63" i="11"/>
  <c r="R63" i="11"/>
  <c r="Q63" i="11"/>
  <c r="P63" i="11"/>
  <c r="S62" i="11"/>
  <c r="R62" i="11"/>
  <c r="Q62" i="11"/>
  <c r="P62" i="11"/>
  <c r="S61" i="11"/>
  <c r="R61" i="11"/>
  <c r="Q61" i="11"/>
  <c r="P61" i="11"/>
  <c r="S60" i="11"/>
  <c r="R60" i="11"/>
  <c r="Q60" i="11"/>
  <c r="P60" i="11"/>
  <c r="P38" i="11"/>
  <c r="B8" i="23"/>
  <c r="C8" i="23"/>
  <c r="D8" i="23"/>
  <c r="E8" i="23"/>
  <c r="C9" i="23"/>
  <c r="D9" i="23"/>
  <c r="E9" i="23"/>
  <c r="B10" i="23"/>
  <c r="C10" i="23"/>
  <c r="D10" i="23"/>
  <c r="E10" i="23"/>
  <c r="P4" i="11"/>
  <c r="N129" i="11"/>
  <c r="N148" i="11" s="1"/>
  <c r="O129" i="11"/>
  <c r="O148" i="11" s="1"/>
  <c r="M129" i="11"/>
  <c r="T234" i="11"/>
  <c r="T70" i="11"/>
  <c r="T255" i="11"/>
  <c r="T256" i="11"/>
  <c r="T253" i="11"/>
  <c r="T254" i="11"/>
  <c r="T217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4" i="11"/>
  <c r="T295" i="11"/>
  <c r="T296" i="11"/>
  <c r="T297" i="11"/>
  <c r="T298" i="11"/>
  <c r="T299" i="11"/>
  <c r="T300" i="11"/>
  <c r="T301" i="11"/>
  <c r="T231" i="11"/>
  <c r="E229" i="11"/>
  <c r="F229" i="11"/>
  <c r="G229" i="11"/>
  <c r="H229" i="11"/>
  <c r="I229" i="11"/>
  <c r="J229" i="11"/>
  <c r="K229" i="11"/>
  <c r="M229" i="11"/>
  <c r="N229" i="11"/>
  <c r="O229" i="11"/>
  <c r="T61" i="11"/>
  <c r="T62" i="11"/>
  <c r="T63" i="11"/>
  <c r="T64" i="11"/>
  <c r="T65" i="11"/>
  <c r="T66" i="11"/>
  <c r="T71" i="11"/>
  <c r="E72" i="11"/>
  <c r="F72" i="11"/>
  <c r="G72" i="11"/>
  <c r="H72" i="11"/>
  <c r="I72" i="11"/>
  <c r="J72" i="11"/>
  <c r="K72" i="11"/>
  <c r="L72" i="11"/>
  <c r="M72" i="11"/>
  <c r="N72" i="11"/>
  <c r="O72" i="11"/>
  <c r="T4" i="11"/>
  <c r="T36" i="11" s="1"/>
  <c r="H92" i="11"/>
  <c r="I92" i="11"/>
  <c r="J92" i="11"/>
  <c r="K92" i="11"/>
  <c r="L92" i="11"/>
  <c r="M92" i="11"/>
  <c r="N92" i="11"/>
  <c r="O92" i="11"/>
  <c r="G79" i="11"/>
  <c r="S79" i="11" s="1"/>
  <c r="F79" i="11"/>
  <c r="E53" i="11"/>
  <c r="T232" i="11"/>
  <c r="T233" i="11"/>
  <c r="T60" i="11"/>
  <c r="T193" i="11"/>
  <c r="T213" i="11" s="1"/>
  <c r="T215" i="11"/>
  <c r="T216" i="11"/>
  <c r="T218" i="11"/>
  <c r="T219" i="11"/>
  <c r="T220" i="11"/>
  <c r="T221" i="11"/>
  <c r="T222" i="11"/>
  <c r="T223" i="11"/>
  <c r="T224" i="11"/>
  <c r="T225" i="11"/>
  <c r="T226" i="11"/>
  <c r="T227" i="11"/>
  <c r="T228" i="11"/>
  <c r="G133" i="11"/>
  <c r="G132" i="11"/>
  <c r="Q132" i="11" s="1"/>
  <c r="F130" i="11"/>
  <c r="D229" i="11"/>
  <c r="T43" i="11"/>
  <c r="T79" i="11" l="1"/>
  <c r="F92" i="11"/>
  <c r="P53" i="11"/>
  <c r="T53" i="11"/>
  <c r="F10" i="23"/>
  <c r="S129" i="11"/>
  <c r="F9" i="23"/>
  <c r="F8" i="23"/>
  <c r="T229" i="11"/>
  <c r="T133" i="11"/>
  <c r="Q133" i="11"/>
  <c r="P130" i="11"/>
  <c r="F148" i="11"/>
  <c r="P148" i="11" s="1"/>
  <c r="T129" i="11"/>
  <c r="M148" i="11"/>
  <c r="S148" i="11" s="1"/>
  <c r="T130" i="11"/>
  <c r="T132" i="11"/>
  <c r="G148" i="11"/>
  <c r="Q148" i="11" s="1"/>
  <c r="P229" i="11"/>
  <c r="B18" i="23" s="1"/>
  <c r="G92" i="11"/>
  <c r="Q92" i="11" s="1"/>
  <c r="E58" i="11"/>
  <c r="T58" i="11"/>
  <c r="E92" i="11"/>
  <c r="T92" i="11"/>
  <c r="F24" i="23"/>
  <c r="F21" i="23"/>
  <c r="P125" i="11"/>
  <c r="P76" i="11"/>
  <c r="F19" i="23"/>
  <c r="S92" i="11"/>
  <c r="T72" i="11"/>
  <c r="S58" i="11"/>
  <c r="R58" i="11"/>
  <c r="Q58" i="11"/>
  <c r="R92" i="11"/>
  <c r="R79" i="11"/>
  <c r="Q79" i="11"/>
  <c r="P79" i="11"/>
  <c r="S72" i="11"/>
  <c r="R72" i="11"/>
  <c r="Q72" i="11"/>
  <c r="S76" i="11"/>
  <c r="R76" i="11"/>
  <c r="Q76" i="11"/>
  <c r="S125" i="11"/>
  <c r="R125" i="11"/>
  <c r="Q125" i="11"/>
  <c r="S184" i="11"/>
  <c r="R184" i="11"/>
  <c r="Q184" i="11"/>
  <c r="S229" i="11"/>
  <c r="E18" i="23" s="1"/>
  <c r="R229" i="11"/>
  <c r="D18" i="23" s="1"/>
  <c r="Q229" i="11"/>
  <c r="C18" i="23" s="1"/>
  <c r="R302" i="11"/>
  <c r="D6" i="23" s="1"/>
  <c r="Q302" i="11"/>
  <c r="C6" i="23" s="1"/>
  <c r="P72" i="11"/>
  <c r="T277" i="11"/>
  <c r="T302" i="11" s="1"/>
  <c r="O4" i="22"/>
  <c r="O34" i="22"/>
  <c r="T148" i="11" l="1"/>
  <c r="D327" i="11"/>
  <c r="F18" i="23"/>
  <c r="U48" i="11"/>
  <c r="E6" i="23"/>
  <c r="F6" i="23" s="1"/>
  <c r="P92" i="11"/>
  <c r="P58" i="11"/>
  <c r="U44" i="11" l="1"/>
  <c r="U52" i="11"/>
  <c r="U55" i="11"/>
  <c r="U45" i="11"/>
  <c r="U53" i="11"/>
  <c r="U46" i="11"/>
  <c r="U54" i="11"/>
  <c r="U47" i="11"/>
  <c r="U56" i="11"/>
  <c r="U57" i="11"/>
  <c r="U43" i="11"/>
  <c r="U49" i="11"/>
  <c r="U50" i="11"/>
  <c r="U51" i="11"/>
  <c r="E318" i="11"/>
  <c r="F318" i="11"/>
  <c r="G318" i="11"/>
  <c r="H318" i="11"/>
  <c r="I318" i="11"/>
  <c r="J318" i="11"/>
  <c r="K318" i="11"/>
  <c r="L318" i="11"/>
  <c r="M318" i="11"/>
  <c r="N318" i="11"/>
  <c r="O318" i="11"/>
  <c r="E319" i="11"/>
  <c r="F319" i="11"/>
  <c r="G319" i="11"/>
  <c r="H319" i="11"/>
  <c r="I319" i="11"/>
  <c r="J319" i="11"/>
  <c r="K319" i="11"/>
  <c r="L319" i="11"/>
  <c r="M319" i="11"/>
  <c r="N319" i="11"/>
  <c r="O319" i="11"/>
  <c r="E316" i="11"/>
  <c r="F316" i="11"/>
  <c r="G316" i="11"/>
  <c r="H316" i="11"/>
  <c r="I316" i="11"/>
  <c r="J316" i="11"/>
  <c r="K316" i="11"/>
  <c r="L316" i="11"/>
  <c r="M316" i="11"/>
  <c r="N316" i="11"/>
  <c r="O316" i="11"/>
  <c r="E43" i="22" l="1"/>
  <c r="F43" i="22"/>
  <c r="G43" i="22"/>
  <c r="H43" i="22"/>
  <c r="I43" i="22"/>
  <c r="J43" i="22"/>
  <c r="K43" i="22"/>
  <c r="L43" i="22"/>
  <c r="M43" i="22"/>
  <c r="N43" i="22"/>
  <c r="D30" i="22"/>
  <c r="E30" i="22"/>
  <c r="F30" i="22"/>
  <c r="G30" i="22"/>
  <c r="H30" i="22"/>
  <c r="I30" i="22"/>
  <c r="J30" i="22"/>
  <c r="K30" i="22"/>
  <c r="L30" i="22"/>
  <c r="M30" i="22"/>
  <c r="N30" i="22"/>
  <c r="E191" i="11"/>
  <c r="F191" i="11"/>
  <c r="G191" i="11"/>
  <c r="H191" i="11"/>
  <c r="I191" i="11"/>
  <c r="J191" i="11"/>
  <c r="K191" i="11"/>
  <c r="L191" i="11"/>
  <c r="M191" i="11"/>
  <c r="N191" i="11"/>
  <c r="O191" i="11"/>
  <c r="D191" i="11"/>
  <c r="D304" i="11" l="1"/>
  <c r="D305" i="11" s="1"/>
  <c r="D306" i="11" s="1"/>
  <c r="O213" i="11"/>
  <c r="O304" i="11" s="1"/>
  <c r="O305" i="11" s="1"/>
  <c r="O306" i="11" s="1"/>
  <c r="N213" i="11"/>
  <c r="N304" i="11" s="1"/>
  <c r="N305" i="11" s="1"/>
  <c r="M213" i="11"/>
  <c r="L213" i="11"/>
  <c r="L304" i="11" s="1"/>
  <c r="L305" i="11" s="1"/>
  <c r="K213" i="11"/>
  <c r="K304" i="11" s="1"/>
  <c r="K305" i="11" s="1"/>
  <c r="I213" i="11"/>
  <c r="I304" i="11" s="1"/>
  <c r="I305" i="11" s="1"/>
  <c r="I306" i="11" s="1"/>
  <c r="H213" i="11"/>
  <c r="H304" i="11" s="1"/>
  <c r="H305" i="11" s="1"/>
  <c r="N31" i="22"/>
  <c r="N36" i="22" s="1"/>
  <c r="P191" i="11"/>
  <c r="B7" i="23" s="1"/>
  <c r="S191" i="11"/>
  <c r="R191" i="11"/>
  <c r="Q191" i="11"/>
  <c r="O26" i="22"/>
  <c r="O18" i="22"/>
  <c r="O19" i="22"/>
  <c r="O20" i="22"/>
  <c r="O21" i="22"/>
  <c r="O22" i="22"/>
  <c r="O23" i="22"/>
  <c r="O24" i="22"/>
  <c r="O25" i="22"/>
  <c r="O27" i="22" l="1"/>
  <c r="O315" i="11"/>
  <c r="O320" i="11" s="1"/>
  <c r="N38" i="22"/>
  <c r="R213" i="11"/>
  <c r="J304" i="11"/>
  <c r="R304" i="11" s="1"/>
  <c r="S213" i="11"/>
  <c r="M304" i="11"/>
  <c r="S304" i="11" s="1"/>
  <c r="G213" i="11"/>
  <c r="F213" i="11"/>
  <c r="F304" i="11" s="1"/>
  <c r="E213" i="11"/>
  <c r="E304" i="11" s="1"/>
  <c r="C7" i="23"/>
  <c r="D7" i="23"/>
  <c r="E7" i="23"/>
  <c r="P304" i="11" l="1"/>
  <c r="M305" i="11"/>
  <c r="S305" i="11" s="1"/>
  <c r="S306" i="11" s="1"/>
  <c r="E4" i="23" s="1"/>
  <c r="J305" i="11"/>
  <c r="R305" i="11" s="1"/>
  <c r="R306" i="11" s="1"/>
  <c r="D4" i="23" s="1"/>
  <c r="Q213" i="11"/>
  <c r="G304" i="11"/>
  <c r="Q304" i="11" s="1"/>
  <c r="F305" i="11"/>
  <c r="P213" i="11"/>
  <c r="F7" i="23"/>
  <c r="D319" i="11"/>
  <c r="D318" i="11"/>
  <c r="T318" i="11" s="1"/>
  <c r="D316" i="11"/>
  <c r="O41" i="22"/>
  <c r="O42" i="22"/>
  <c r="O40" i="22"/>
  <c r="O43" i="22" s="1"/>
  <c r="O33" i="22"/>
  <c r="O29" i="22"/>
  <c r="O30" i="22" s="1"/>
  <c r="O15" i="22"/>
  <c r="O14" i="22"/>
  <c r="O16" i="22" s="1"/>
  <c r="O11" i="22"/>
  <c r="O12" i="22" s="1"/>
  <c r="D16" i="23" l="1"/>
  <c r="E16" i="23"/>
  <c r="G305" i="11"/>
  <c r="Q305" i="11" s="1"/>
  <c r="Q306" i="11" s="1"/>
  <c r="E305" i="11"/>
  <c r="E306" i="11" s="1"/>
  <c r="T316" i="11"/>
  <c r="C16" i="23" l="1"/>
  <c r="C4" i="23"/>
  <c r="J329" i="11"/>
  <c r="J330" i="11"/>
  <c r="D329" i="11"/>
  <c r="D330" i="11"/>
  <c r="J31" i="22"/>
  <c r="J36" i="22" s="1"/>
  <c r="K315" i="11" l="1"/>
  <c r="J38" i="22"/>
  <c r="K320" i="11"/>
  <c r="E31" i="22"/>
  <c r="E36" i="22" s="1"/>
  <c r="F31" i="22"/>
  <c r="H31" i="22"/>
  <c r="H36" i="22" s="1"/>
  <c r="D31" i="22"/>
  <c r="D36" i="22" s="1"/>
  <c r="I31" i="22"/>
  <c r="M31" i="22"/>
  <c r="M36" i="22" s="1"/>
  <c r="K31" i="22"/>
  <c r="K36" i="22" s="1"/>
  <c r="L31" i="22"/>
  <c r="G31" i="22"/>
  <c r="G36" i="22" s="1"/>
  <c r="D331" i="11"/>
  <c r="J328" i="11"/>
  <c r="T190" i="11"/>
  <c r="T189" i="11"/>
  <c r="T188" i="11"/>
  <c r="J333" i="11" s="1"/>
  <c r="T187" i="11"/>
  <c r="T186" i="11"/>
  <c r="H315" i="11" l="1"/>
  <c r="G38" i="22"/>
  <c r="L315" i="11"/>
  <c r="K38" i="22"/>
  <c r="N315" i="11"/>
  <c r="M38" i="22"/>
  <c r="E315" i="11"/>
  <c r="D38" i="22"/>
  <c r="I315" i="11"/>
  <c r="H38" i="22"/>
  <c r="C3" i="23"/>
  <c r="C5" i="23" s="1"/>
  <c r="E38" i="22"/>
  <c r="F315" i="11"/>
  <c r="T191" i="11"/>
  <c r="E3" i="23"/>
  <c r="L36" i="22"/>
  <c r="D3" i="23"/>
  <c r="I36" i="22"/>
  <c r="C11" i="23"/>
  <c r="F36" i="22"/>
  <c r="H320" i="11"/>
  <c r="L320" i="11"/>
  <c r="N320" i="11"/>
  <c r="F320" i="11"/>
  <c r="G315" i="11" l="1"/>
  <c r="F38" i="22"/>
  <c r="J315" i="11"/>
  <c r="I38" i="22"/>
  <c r="D5" i="23"/>
  <c r="D11" i="23" s="1"/>
  <c r="M315" i="11"/>
  <c r="M320" i="11" s="1"/>
  <c r="L38" i="22"/>
  <c r="E5" i="23"/>
  <c r="E11" i="23" s="1"/>
  <c r="E15" i="23"/>
  <c r="E17" i="23" s="1"/>
  <c r="E25" i="23" s="1"/>
  <c r="J320" i="11"/>
  <c r="D15" i="23" s="1"/>
  <c r="D17" i="23" s="1"/>
  <c r="D25" i="23" s="1"/>
  <c r="G320" i="11"/>
  <c r="I320" i="11"/>
  <c r="D328" i="11"/>
  <c r="J327" i="11"/>
  <c r="C15" i="23" l="1"/>
  <c r="C17" i="23" s="1"/>
  <c r="C25" i="23" s="1"/>
  <c r="J306" i="11"/>
  <c r="M306" i="11"/>
  <c r="H306" i="11"/>
  <c r="N306" i="11"/>
  <c r="L306" i="11"/>
  <c r="G306" i="11"/>
  <c r="K306" i="11"/>
  <c r="F306" i="11"/>
  <c r="E338" i="11" l="1"/>
  <c r="E339" i="11" s="1"/>
  <c r="E340" i="11" s="1"/>
  <c r="F338" i="11"/>
  <c r="F339" i="11" s="1"/>
  <c r="F340" i="11" s="1"/>
  <c r="H338" i="11"/>
  <c r="H339" i="11" s="1"/>
  <c r="H340" i="11" s="1"/>
  <c r="J338" i="11"/>
  <c r="J339" i="11" s="1"/>
  <c r="J340" i="11" s="1"/>
  <c r="M338" i="11"/>
  <c r="M339" i="11" s="1"/>
  <c r="M340" i="11" s="1"/>
  <c r="G338" i="11"/>
  <c r="G339" i="11" s="1"/>
  <c r="G340" i="11" s="1"/>
  <c r="N338" i="11"/>
  <c r="N339" i="11" s="1"/>
  <c r="N340" i="11" s="1"/>
  <c r="I338" i="11"/>
  <c r="I339" i="11" s="1"/>
  <c r="I340" i="11" s="1"/>
  <c r="K338" i="11"/>
  <c r="K339" i="11" s="1"/>
  <c r="K340" i="11" s="1"/>
  <c r="L338" i="11"/>
  <c r="L339" i="11" s="1"/>
  <c r="L340" i="11" s="1"/>
  <c r="O338" i="11"/>
  <c r="O339" i="11" s="1"/>
  <c r="O340" i="11" s="1"/>
  <c r="O78" i="10"/>
  <c r="O77" i="10"/>
  <c r="I211" i="10"/>
  <c r="H211" i="10"/>
  <c r="G211" i="10"/>
  <c r="E211" i="10"/>
  <c r="C211" i="10"/>
  <c r="O210" i="10"/>
  <c r="O209" i="10"/>
  <c r="O208" i="10"/>
  <c r="O207" i="10"/>
  <c r="O206" i="10"/>
  <c r="O205" i="10"/>
  <c r="O204" i="10"/>
  <c r="O203" i="10"/>
  <c r="O202" i="10"/>
  <c r="O201" i="10"/>
  <c r="O200" i="10"/>
  <c r="J199" i="10"/>
  <c r="K199" i="10" s="1"/>
  <c r="K211" i="10" s="1"/>
  <c r="F199" i="10"/>
  <c r="D199" i="10"/>
  <c r="D211" i="10" s="1"/>
  <c r="N196" i="10"/>
  <c r="M196" i="10"/>
  <c r="L196" i="10"/>
  <c r="K196" i="10"/>
  <c r="J196" i="10"/>
  <c r="I196" i="10"/>
  <c r="H196" i="10"/>
  <c r="G196" i="10"/>
  <c r="F196" i="10"/>
  <c r="E196" i="10"/>
  <c r="O194" i="10"/>
  <c r="O193" i="10"/>
  <c r="D192" i="10"/>
  <c r="D196" i="10" s="1"/>
  <c r="C192" i="10"/>
  <c r="O191" i="10"/>
  <c r="O190" i="10"/>
  <c r="O189" i="10"/>
  <c r="E187" i="10"/>
  <c r="C187" i="10"/>
  <c r="N185" i="10"/>
  <c r="M185" i="10"/>
  <c r="L185" i="10"/>
  <c r="K185" i="10"/>
  <c r="J185" i="10"/>
  <c r="I185" i="10"/>
  <c r="H185" i="10"/>
  <c r="G185" i="10"/>
  <c r="F185" i="10"/>
  <c r="O184" i="10"/>
  <c r="O182" i="10"/>
  <c r="O180" i="10"/>
  <c r="O179" i="10"/>
  <c r="O178" i="10"/>
  <c r="O177" i="10"/>
  <c r="O176" i="10"/>
  <c r="O175" i="10"/>
  <c r="O174" i="10"/>
  <c r="O173" i="10"/>
  <c r="O172" i="10"/>
  <c r="O171" i="10"/>
  <c r="N169" i="10"/>
  <c r="M169" i="10"/>
  <c r="L169" i="10"/>
  <c r="K169" i="10"/>
  <c r="J169" i="10"/>
  <c r="I169" i="10"/>
  <c r="H169" i="10"/>
  <c r="G169" i="10"/>
  <c r="F169" i="10"/>
  <c r="O168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O165" i="10"/>
  <c r="O164" i="10"/>
  <c r="O163" i="10"/>
  <c r="O162" i="10"/>
  <c r="O161" i="10"/>
  <c r="N159" i="10"/>
  <c r="M159" i="10"/>
  <c r="L159" i="10"/>
  <c r="K159" i="10"/>
  <c r="J159" i="10"/>
  <c r="I159" i="10"/>
  <c r="H159" i="10"/>
  <c r="G159" i="10"/>
  <c r="F159" i="10"/>
  <c r="E159" i="10"/>
  <c r="D159" i="10"/>
  <c r="C159" i="10"/>
  <c r="O158" i="10"/>
  <c r="O157" i="10"/>
  <c r="O156" i="10"/>
  <c r="O155" i="10"/>
  <c r="O154" i="10"/>
  <c r="O153" i="10"/>
  <c r="O152" i="10"/>
  <c r="O151" i="10"/>
  <c r="O150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19" i="10"/>
  <c r="O118" i="10"/>
  <c r="O117" i="10"/>
  <c r="O116" i="10"/>
  <c r="O115" i="10"/>
  <c r="O114" i="10"/>
  <c r="H113" i="10"/>
  <c r="G113" i="10"/>
  <c r="F113" i="10"/>
  <c r="E113" i="10"/>
  <c r="D113" i="10"/>
  <c r="C113" i="10"/>
  <c r="O112" i="10"/>
  <c r="O111" i="10"/>
  <c r="O110" i="10"/>
  <c r="L109" i="10"/>
  <c r="M109" i="10" s="1"/>
  <c r="N109" i="10" s="1"/>
  <c r="D109" i="10"/>
  <c r="E109" i="10" s="1"/>
  <c r="F109" i="10" s="1"/>
  <c r="G109" i="10" s="1"/>
  <c r="H109" i="10" s="1"/>
  <c r="I109" i="10" s="1"/>
  <c r="O108" i="10"/>
  <c r="J107" i="10"/>
  <c r="K107" i="10" s="1"/>
  <c r="L107" i="10" s="1"/>
  <c r="M107" i="10" s="1"/>
  <c r="N107" i="10" s="1"/>
  <c r="D107" i="10"/>
  <c r="O106" i="10"/>
  <c r="E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0" i="10"/>
  <c r="O89" i="10"/>
  <c r="O88" i="10"/>
  <c r="O87" i="10"/>
  <c r="O86" i="10"/>
  <c r="O85" i="10"/>
  <c r="G84" i="10"/>
  <c r="H84" i="10" s="1"/>
  <c r="I84" i="10" s="1"/>
  <c r="J84" i="10" s="1"/>
  <c r="K84" i="10" s="1"/>
  <c r="L84" i="10" s="1"/>
  <c r="M84" i="10" s="1"/>
  <c r="N84" i="10" s="1"/>
  <c r="C84" i="10"/>
  <c r="D84" i="10" s="1"/>
  <c r="D83" i="10"/>
  <c r="E83" i="10" s="1"/>
  <c r="I82" i="10"/>
  <c r="L81" i="10"/>
  <c r="O81" i="10" s="1"/>
  <c r="O80" i="10"/>
  <c r="O79" i="10"/>
  <c r="O76" i="10"/>
  <c r="H75" i="10"/>
  <c r="I75" i="10" s="1"/>
  <c r="J75" i="10" s="1"/>
  <c r="K75" i="10" s="1"/>
  <c r="L75" i="10" s="1"/>
  <c r="M75" i="10" s="1"/>
  <c r="N75" i="10" s="1"/>
  <c r="C75" i="10"/>
  <c r="C91" i="10" s="1"/>
  <c r="O74" i="10"/>
  <c r="O73" i="10"/>
  <c r="O72" i="10"/>
  <c r="O71" i="10"/>
  <c r="O70" i="10"/>
  <c r="D69" i="10"/>
  <c r="D68" i="10"/>
  <c r="O67" i="10"/>
  <c r="O66" i="10"/>
  <c r="M65" i="10"/>
  <c r="O65" i="10" s="1"/>
  <c r="O62" i="10"/>
  <c r="N61" i="10"/>
  <c r="M61" i="10"/>
  <c r="L61" i="10"/>
  <c r="K61" i="10"/>
  <c r="J61" i="10"/>
  <c r="I61" i="10"/>
  <c r="H61" i="10"/>
  <c r="G61" i="10"/>
  <c r="F61" i="10"/>
  <c r="C61" i="10"/>
  <c r="O60" i="10"/>
  <c r="D59" i="10"/>
  <c r="E59" i="10" s="1"/>
  <c r="F59" i="10" s="1"/>
  <c r="G59" i="10" s="1"/>
  <c r="G58" i="10"/>
  <c r="H58" i="10" s="1"/>
  <c r="I58" i="10" s="1"/>
  <c r="J58" i="10" s="1"/>
  <c r="K58" i="10" s="1"/>
  <c r="D58" i="10"/>
  <c r="O57" i="10"/>
  <c r="O56" i="10"/>
  <c r="O55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O52" i="10"/>
  <c r="O53" i="10" s="1"/>
  <c r="N50" i="10"/>
  <c r="M50" i="10"/>
  <c r="L50" i="10"/>
  <c r="K50" i="10"/>
  <c r="J50" i="10"/>
  <c r="I50" i="10"/>
  <c r="H50" i="10"/>
  <c r="G50" i="10"/>
  <c r="F50" i="10"/>
  <c r="E50" i="10"/>
  <c r="D50" i="10"/>
  <c r="C50" i="10"/>
  <c r="O49" i="10"/>
  <c r="O48" i="10"/>
  <c r="O47" i="10"/>
  <c r="O46" i="10"/>
  <c r="O45" i="10"/>
  <c r="O44" i="10"/>
  <c r="O43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42" i="10" s="1"/>
  <c r="O51" i="10" s="1"/>
  <c r="O54" i="10" s="1"/>
  <c r="O64" i="10" s="1"/>
  <c r="O121" i="10" s="1"/>
  <c r="O149" i="10" s="1"/>
  <c r="O160" i="10" s="1"/>
  <c r="O167" i="10" s="1"/>
  <c r="O188" i="10" s="1"/>
  <c r="O197" i="10" s="1"/>
  <c r="N23" i="10"/>
  <c r="N42" i="10" s="1"/>
  <c r="N51" i="10" s="1"/>
  <c r="N54" i="10" s="1"/>
  <c r="N64" i="10" s="1"/>
  <c r="N92" i="10" s="1"/>
  <c r="N121" i="10" s="1"/>
  <c r="N149" i="10" s="1"/>
  <c r="N160" i="10" s="1"/>
  <c r="N167" i="10" s="1"/>
  <c r="N188" i="10" s="1"/>
  <c r="N197" i="10" s="1"/>
  <c r="M23" i="10"/>
  <c r="M42" i="10" s="1"/>
  <c r="M51" i="10" s="1"/>
  <c r="M54" i="10" s="1"/>
  <c r="M64" i="10" s="1"/>
  <c r="M92" i="10" s="1"/>
  <c r="M121" i="10" s="1"/>
  <c r="M149" i="10" s="1"/>
  <c r="M160" i="10" s="1"/>
  <c r="M167" i="10" s="1"/>
  <c r="M188" i="10" s="1"/>
  <c r="M197" i="10" s="1"/>
  <c r="L23" i="10"/>
  <c r="L42" i="10" s="1"/>
  <c r="L51" i="10" s="1"/>
  <c r="L54" i="10" s="1"/>
  <c r="L64" i="10" s="1"/>
  <c r="L92" i="10" s="1"/>
  <c r="L121" i="10" s="1"/>
  <c r="L149" i="10" s="1"/>
  <c r="L160" i="10" s="1"/>
  <c r="L167" i="10" s="1"/>
  <c r="L188" i="10" s="1"/>
  <c r="L197" i="10" s="1"/>
  <c r="K23" i="10"/>
  <c r="K42" i="10" s="1"/>
  <c r="K51" i="10" s="1"/>
  <c r="K54" i="10" s="1"/>
  <c r="K64" i="10" s="1"/>
  <c r="K92" i="10" s="1"/>
  <c r="K121" i="10" s="1"/>
  <c r="K149" i="10" s="1"/>
  <c r="K160" i="10" s="1"/>
  <c r="K167" i="10" s="1"/>
  <c r="K188" i="10" s="1"/>
  <c r="K197" i="10" s="1"/>
  <c r="J23" i="10"/>
  <c r="J42" i="10" s="1"/>
  <c r="J51" i="10" s="1"/>
  <c r="J54" i="10" s="1"/>
  <c r="J64" i="10" s="1"/>
  <c r="J92" i="10" s="1"/>
  <c r="J121" i="10" s="1"/>
  <c r="J149" i="10" s="1"/>
  <c r="J160" i="10" s="1"/>
  <c r="J167" i="10" s="1"/>
  <c r="J188" i="10" s="1"/>
  <c r="J197" i="10" s="1"/>
  <c r="I23" i="10"/>
  <c r="I42" i="10" s="1"/>
  <c r="I51" i="10" s="1"/>
  <c r="I54" i="10" s="1"/>
  <c r="I64" i="10" s="1"/>
  <c r="I92" i="10" s="1"/>
  <c r="I121" i="10" s="1"/>
  <c r="I149" i="10" s="1"/>
  <c r="I160" i="10" s="1"/>
  <c r="I167" i="10" s="1"/>
  <c r="I188" i="10" s="1"/>
  <c r="I197" i="10" s="1"/>
  <c r="H23" i="10"/>
  <c r="H42" i="10" s="1"/>
  <c r="H51" i="10" s="1"/>
  <c r="H54" i="10" s="1"/>
  <c r="H64" i="10" s="1"/>
  <c r="H92" i="10" s="1"/>
  <c r="H121" i="10" s="1"/>
  <c r="H149" i="10" s="1"/>
  <c r="H160" i="10" s="1"/>
  <c r="H167" i="10" s="1"/>
  <c r="H188" i="10" s="1"/>
  <c r="H197" i="10" s="1"/>
  <c r="G23" i="10"/>
  <c r="G42" i="10" s="1"/>
  <c r="G51" i="10" s="1"/>
  <c r="G54" i="10" s="1"/>
  <c r="G64" i="10" s="1"/>
  <c r="G92" i="10" s="1"/>
  <c r="G121" i="10" s="1"/>
  <c r="G149" i="10" s="1"/>
  <c r="G160" i="10" s="1"/>
  <c r="G167" i="10" s="1"/>
  <c r="G188" i="10" s="1"/>
  <c r="G197" i="10" s="1"/>
  <c r="F23" i="10"/>
  <c r="F42" i="10" s="1"/>
  <c r="F51" i="10" s="1"/>
  <c r="F54" i="10" s="1"/>
  <c r="F64" i="10" s="1"/>
  <c r="F92" i="10" s="1"/>
  <c r="F121" i="10" s="1"/>
  <c r="F149" i="10" s="1"/>
  <c r="F160" i="10" s="1"/>
  <c r="F167" i="10" s="1"/>
  <c r="F188" i="10" s="1"/>
  <c r="F197" i="10" s="1"/>
  <c r="E23" i="10"/>
  <c r="E42" i="10" s="1"/>
  <c r="E51" i="10" s="1"/>
  <c r="E54" i="10" s="1"/>
  <c r="E64" i="10" s="1"/>
  <c r="E92" i="10" s="1"/>
  <c r="E121" i="10" s="1"/>
  <c r="E149" i="10" s="1"/>
  <c r="E160" i="10" s="1"/>
  <c r="E167" i="10" s="1"/>
  <c r="E188" i="10" s="1"/>
  <c r="E197" i="10" s="1"/>
  <c r="D23" i="10"/>
  <c r="D42" i="10" s="1"/>
  <c r="D51" i="10" s="1"/>
  <c r="D54" i="10" s="1"/>
  <c r="D64" i="10" s="1"/>
  <c r="D92" i="10" s="1"/>
  <c r="D121" i="10" s="1"/>
  <c r="D149" i="10" s="1"/>
  <c r="D160" i="10" s="1"/>
  <c r="D167" i="10" s="1"/>
  <c r="D188" i="10" s="1"/>
  <c r="D197" i="10" s="1"/>
  <c r="C23" i="10"/>
  <c r="C42" i="10" s="1"/>
  <c r="C51" i="10" s="1"/>
  <c r="C54" i="10" s="1"/>
  <c r="C64" i="10" s="1"/>
  <c r="C92" i="10" s="1"/>
  <c r="C121" i="10" s="1"/>
  <c r="C149" i="10" s="1"/>
  <c r="C160" i="10" s="1"/>
  <c r="C167" i="10" s="1"/>
  <c r="C188" i="10" s="1"/>
  <c r="C197" i="10" s="1"/>
  <c r="O21" i="10"/>
  <c r="O20" i="10"/>
  <c r="O19" i="10"/>
  <c r="O18" i="10"/>
  <c r="O17" i="10"/>
  <c r="O16" i="10"/>
  <c r="O15" i="10"/>
  <c r="O14" i="10"/>
  <c r="E13" i="10"/>
  <c r="C13" i="10"/>
  <c r="O12" i="10"/>
  <c r="N11" i="10"/>
  <c r="N10" i="10" s="1"/>
  <c r="N13" i="10" s="1"/>
  <c r="N22" i="10" s="1"/>
  <c r="M11" i="10"/>
  <c r="M10" i="10" s="1"/>
  <c r="M13" i="10" s="1"/>
  <c r="M22" i="10" s="1"/>
  <c r="L11" i="10"/>
  <c r="L10" i="10" s="1"/>
  <c r="L13" i="10" s="1"/>
  <c r="L22" i="10" s="1"/>
  <c r="K11" i="10"/>
  <c r="K10" i="10" s="1"/>
  <c r="J11" i="10"/>
  <c r="J10" i="10" s="1"/>
  <c r="I11" i="10"/>
  <c r="I10" i="10" s="1"/>
  <c r="H11" i="10"/>
  <c r="H10" i="10" s="1"/>
  <c r="H13" i="10" s="1"/>
  <c r="H22" i="10" s="1"/>
  <c r="G11" i="10"/>
  <c r="G10" i="10" s="1"/>
  <c r="F11" i="10"/>
  <c r="F10" i="10" s="1"/>
  <c r="E11" i="10"/>
  <c r="D11" i="10"/>
  <c r="D10" i="10" s="1"/>
  <c r="C11" i="10"/>
  <c r="O9" i="10"/>
  <c r="C234" i="10" s="1"/>
  <c r="O8" i="10"/>
  <c r="O7" i="10"/>
  <c r="O6" i="10"/>
  <c r="O5" i="10"/>
  <c r="O4" i="10"/>
  <c r="I209" i="9"/>
  <c r="H209" i="9"/>
  <c r="G209" i="9"/>
  <c r="E209" i="9"/>
  <c r="C209" i="9"/>
  <c r="O208" i="9"/>
  <c r="O207" i="9"/>
  <c r="O206" i="9"/>
  <c r="O205" i="9"/>
  <c r="O204" i="9"/>
  <c r="N203" i="9"/>
  <c r="M203" i="9"/>
  <c r="L203" i="9"/>
  <c r="O202" i="9"/>
  <c r="O201" i="9"/>
  <c r="O200" i="9"/>
  <c r="O199" i="9"/>
  <c r="O198" i="9"/>
  <c r="J197" i="9"/>
  <c r="K197" i="9" s="1"/>
  <c r="K209" i="9" s="1"/>
  <c r="F197" i="9"/>
  <c r="F209" i="9" s="1"/>
  <c r="D197" i="9"/>
  <c r="D209" i="9" s="1"/>
  <c r="N194" i="9"/>
  <c r="M194" i="9"/>
  <c r="L194" i="9"/>
  <c r="K194" i="9"/>
  <c r="J194" i="9"/>
  <c r="I194" i="9"/>
  <c r="H194" i="9"/>
  <c r="G194" i="9"/>
  <c r="F194" i="9"/>
  <c r="E194" i="9"/>
  <c r="O192" i="9"/>
  <c r="O191" i="9"/>
  <c r="D190" i="9"/>
  <c r="D194" i="9" s="1"/>
  <c r="C190" i="9"/>
  <c r="C194" i="9" s="1"/>
  <c r="O189" i="9"/>
  <c r="O188" i="9"/>
  <c r="O187" i="9"/>
  <c r="E185" i="9"/>
  <c r="C185" i="9"/>
  <c r="N183" i="9"/>
  <c r="M183" i="9"/>
  <c r="L183" i="9"/>
  <c r="K183" i="9"/>
  <c r="J183" i="9"/>
  <c r="I183" i="9"/>
  <c r="H183" i="9"/>
  <c r="G183" i="9"/>
  <c r="F183" i="9"/>
  <c r="O182" i="9"/>
  <c r="O180" i="9"/>
  <c r="O178" i="9"/>
  <c r="O177" i="9"/>
  <c r="O176" i="9"/>
  <c r="O175" i="9"/>
  <c r="O174" i="9"/>
  <c r="O173" i="9"/>
  <c r="O172" i="9"/>
  <c r="O171" i="9"/>
  <c r="O170" i="9"/>
  <c r="O169" i="9"/>
  <c r="N167" i="9"/>
  <c r="M167" i="9"/>
  <c r="L167" i="9"/>
  <c r="K167" i="9"/>
  <c r="J167" i="9"/>
  <c r="I167" i="9"/>
  <c r="H167" i="9"/>
  <c r="G167" i="9"/>
  <c r="F167" i="9"/>
  <c r="O166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O163" i="9"/>
  <c r="O162" i="9"/>
  <c r="O161" i="9"/>
  <c r="O160" i="9"/>
  <c r="O159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O156" i="9"/>
  <c r="O155" i="9"/>
  <c r="O154" i="9"/>
  <c r="O153" i="9"/>
  <c r="O152" i="9"/>
  <c r="O151" i="9"/>
  <c r="O150" i="9"/>
  <c r="O149" i="9"/>
  <c r="O148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7" i="9"/>
  <c r="O116" i="9"/>
  <c r="O115" i="9"/>
  <c r="O114" i="9"/>
  <c r="O113" i="9"/>
  <c r="O112" i="9"/>
  <c r="H111" i="9"/>
  <c r="G111" i="9"/>
  <c r="F111" i="9"/>
  <c r="E111" i="9"/>
  <c r="D111" i="9"/>
  <c r="C111" i="9"/>
  <c r="C118" i="9" s="1"/>
  <c r="O110" i="9"/>
  <c r="O109" i="9"/>
  <c r="O108" i="9"/>
  <c r="L107" i="9"/>
  <c r="M107" i="9" s="1"/>
  <c r="N107" i="9" s="1"/>
  <c r="D107" i="9"/>
  <c r="E107" i="9" s="1"/>
  <c r="F107" i="9" s="1"/>
  <c r="O106" i="9"/>
  <c r="J105" i="9"/>
  <c r="K105" i="9" s="1"/>
  <c r="L105" i="9" s="1"/>
  <c r="M105" i="9" s="1"/>
  <c r="N105" i="9" s="1"/>
  <c r="D105" i="9"/>
  <c r="E105" i="9" s="1"/>
  <c r="O104" i="9"/>
  <c r="E103" i="9"/>
  <c r="O102" i="9"/>
  <c r="O101" i="9"/>
  <c r="O100" i="9"/>
  <c r="O99" i="9"/>
  <c r="O98" i="9"/>
  <c r="O97" i="9"/>
  <c r="O96" i="9"/>
  <c r="O95" i="9"/>
  <c r="O94" i="9"/>
  <c r="O93" i="9"/>
  <c r="O92" i="9"/>
  <c r="O91" i="9"/>
  <c r="O88" i="9"/>
  <c r="O87" i="9"/>
  <c r="O86" i="9"/>
  <c r="O85" i="9"/>
  <c r="O84" i="9"/>
  <c r="O83" i="9"/>
  <c r="G82" i="9"/>
  <c r="H82" i="9" s="1"/>
  <c r="I82" i="9" s="1"/>
  <c r="J82" i="9" s="1"/>
  <c r="K82" i="9" s="1"/>
  <c r="C82" i="9"/>
  <c r="D82" i="9" s="1"/>
  <c r="D81" i="9"/>
  <c r="E81" i="9" s="1"/>
  <c r="F81" i="9" s="1"/>
  <c r="G81" i="9" s="1"/>
  <c r="O81" i="9" s="1"/>
  <c r="I80" i="9"/>
  <c r="J80" i="9" s="1"/>
  <c r="K80" i="9" s="1"/>
  <c r="L79" i="9"/>
  <c r="O79" i="9" s="1"/>
  <c r="O78" i="9"/>
  <c r="O77" i="9"/>
  <c r="O76" i="9"/>
  <c r="H75" i="9"/>
  <c r="I75" i="9" s="1"/>
  <c r="J75" i="9" s="1"/>
  <c r="K75" i="9" s="1"/>
  <c r="L75" i="9" s="1"/>
  <c r="M75" i="9" s="1"/>
  <c r="N75" i="9" s="1"/>
  <c r="C75" i="9"/>
  <c r="O74" i="9"/>
  <c r="O73" i="9"/>
  <c r="O72" i="9"/>
  <c r="O71" i="9"/>
  <c r="O70" i="9"/>
  <c r="D69" i="9"/>
  <c r="E69" i="9" s="1"/>
  <c r="F69" i="9" s="1"/>
  <c r="G69" i="9" s="1"/>
  <c r="H69" i="9" s="1"/>
  <c r="D68" i="9"/>
  <c r="O67" i="9"/>
  <c r="O66" i="9"/>
  <c r="M65" i="9"/>
  <c r="O65" i="9" s="1"/>
  <c r="O62" i="9"/>
  <c r="N61" i="9"/>
  <c r="M61" i="9"/>
  <c r="L61" i="9"/>
  <c r="K61" i="9"/>
  <c r="J61" i="9"/>
  <c r="I61" i="9"/>
  <c r="H61" i="9"/>
  <c r="G61" i="9"/>
  <c r="F61" i="9"/>
  <c r="C61" i="9"/>
  <c r="C63" i="9" s="1"/>
  <c r="O60" i="9"/>
  <c r="D59" i="9"/>
  <c r="E59" i="9" s="1"/>
  <c r="F59" i="9" s="1"/>
  <c r="G59" i="9" s="1"/>
  <c r="H59" i="9" s="1"/>
  <c r="I59" i="9" s="1"/>
  <c r="G58" i="9"/>
  <c r="H58" i="9" s="1"/>
  <c r="D58" i="9"/>
  <c r="O57" i="9"/>
  <c r="O56" i="9"/>
  <c r="O55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3" i="9" s="1"/>
  <c r="N50" i="9"/>
  <c r="M50" i="9"/>
  <c r="L50" i="9"/>
  <c r="K50" i="9"/>
  <c r="J50" i="9"/>
  <c r="I50" i="9"/>
  <c r="H50" i="9"/>
  <c r="G50" i="9"/>
  <c r="F50" i="9"/>
  <c r="E50" i="9"/>
  <c r="D50" i="9"/>
  <c r="C50" i="9"/>
  <c r="O49" i="9"/>
  <c r="O48" i="9"/>
  <c r="O47" i="9"/>
  <c r="O46" i="9"/>
  <c r="O45" i="9"/>
  <c r="O44" i="9"/>
  <c r="O43" i="9"/>
  <c r="N41" i="9"/>
  <c r="M41" i="9"/>
  <c r="L41" i="9"/>
  <c r="K41" i="9"/>
  <c r="J41" i="9"/>
  <c r="I41" i="9"/>
  <c r="H41" i="9"/>
  <c r="G41" i="9"/>
  <c r="F41" i="9"/>
  <c r="E41" i="9"/>
  <c r="D41" i="9"/>
  <c r="C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42" i="9" s="1"/>
  <c r="O51" i="9" s="1"/>
  <c r="O54" i="9" s="1"/>
  <c r="O64" i="9" s="1"/>
  <c r="N23" i="9"/>
  <c r="N42" i="9" s="1"/>
  <c r="N51" i="9" s="1"/>
  <c r="N54" i="9" s="1"/>
  <c r="N64" i="9" s="1"/>
  <c r="N90" i="9" s="1"/>
  <c r="N119" i="9" s="1"/>
  <c r="N147" i="9" s="1"/>
  <c r="N158" i="9" s="1"/>
  <c r="N165" i="9" s="1"/>
  <c r="N186" i="9" s="1"/>
  <c r="N195" i="9" s="1"/>
  <c r="M23" i="9"/>
  <c r="M42" i="9" s="1"/>
  <c r="M51" i="9" s="1"/>
  <c r="M54" i="9" s="1"/>
  <c r="M64" i="9" s="1"/>
  <c r="M90" i="9" s="1"/>
  <c r="M119" i="9" s="1"/>
  <c r="M147" i="9" s="1"/>
  <c r="M158" i="9" s="1"/>
  <c r="M165" i="9" s="1"/>
  <c r="M186" i="9" s="1"/>
  <c r="M195" i="9" s="1"/>
  <c r="L23" i="9"/>
  <c r="L42" i="9" s="1"/>
  <c r="L51" i="9" s="1"/>
  <c r="L54" i="9" s="1"/>
  <c r="L64" i="9" s="1"/>
  <c r="L90" i="9" s="1"/>
  <c r="L119" i="9" s="1"/>
  <c r="L147" i="9" s="1"/>
  <c r="L158" i="9" s="1"/>
  <c r="L165" i="9" s="1"/>
  <c r="L186" i="9" s="1"/>
  <c r="L195" i="9" s="1"/>
  <c r="K23" i="9"/>
  <c r="K42" i="9" s="1"/>
  <c r="K51" i="9" s="1"/>
  <c r="K54" i="9" s="1"/>
  <c r="K64" i="9" s="1"/>
  <c r="K90" i="9" s="1"/>
  <c r="K119" i="9" s="1"/>
  <c r="K147" i="9" s="1"/>
  <c r="K158" i="9" s="1"/>
  <c r="K165" i="9" s="1"/>
  <c r="K186" i="9" s="1"/>
  <c r="K195" i="9" s="1"/>
  <c r="J23" i="9"/>
  <c r="J42" i="9" s="1"/>
  <c r="J51" i="9" s="1"/>
  <c r="J54" i="9" s="1"/>
  <c r="J64" i="9" s="1"/>
  <c r="J90" i="9" s="1"/>
  <c r="J119" i="9" s="1"/>
  <c r="J147" i="9" s="1"/>
  <c r="J158" i="9" s="1"/>
  <c r="J165" i="9" s="1"/>
  <c r="J186" i="9" s="1"/>
  <c r="J195" i="9" s="1"/>
  <c r="I23" i="9"/>
  <c r="I42" i="9" s="1"/>
  <c r="I51" i="9" s="1"/>
  <c r="I54" i="9" s="1"/>
  <c r="I64" i="9" s="1"/>
  <c r="I90" i="9" s="1"/>
  <c r="I119" i="9" s="1"/>
  <c r="I147" i="9" s="1"/>
  <c r="I158" i="9" s="1"/>
  <c r="I165" i="9" s="1"/>
  <c r="I186" i="9" s="1"/>
  <c r="I195" i="9" s="1"/>
  <c r="H23" i="9"/>
  <c r="H42" i="9" s="1"/>
  <c r="H51" i="9" s="1"/>
  <c r="H54" i="9" s="1"/>
  <c r="H64" i="9" s="1"/>
  <c r="H90" i="9" s="1"/>
  <c r="H119" i="9" s="1"/>
  <c r="H147" i="9" s="1"/>
  <c r="H158" i="9" s="1"/>
  <c r="H165" i="9" s="1"/>
  <c r="H186" i="9" s="1"/>
  <c r="H195" i="9" s="1"/>
  <c r="G23" i="9"/>
  <c r="G42" i="9" s="1"/>
  <c r="G51" i="9" s="1"/>
  <c r="G54" i="9" s="1"/>
  <c r="G64" i="9" s="1"/>
  <c r="G90" i="9" s="1"/>
  <c r="G119" i="9" s="1"/>
  <c r="G147" i="9" s="1"/>
  <c r="G158" i="9" s="1"/>
  <c r="G165" i="9" s="1"/>
  <c r="G186" i="9" s="1"/>
  <c r="G195" i="9" s="1"/>
  <c r="F23" i="9"/>
  <c r="F42" i="9" s="1"/>
  <c r="F51" i="9" s="1"/>
  <c r="F54" i="9" s="1"/>
  <c r="F64" i="9" s="1"/>
  <c r="F90" i="9" s="1"/>
  <c r="F119" i="9" s="1"/>
  <c r="F147" i="9" s="1"/>
  <c r="F158" i="9" s="1"/>
  <c r="F165" i="9" s="1"/>
  <c r="F186" i="9" s="1"/>
  <c r="F195" i="9" s="1"/>
  <c r="E23" i="9"/>
  <c r="E42" i="9" s="1"/>
  <c r="E51" i="9" s="1"/>
  <c r="E54" i="9" s="1"/>
  <c r="E64" i="9" s="1"/>
  <c r="E90" i="9" s="1"/>
  <c r="E119" i="9" s="1"/>
  <c r="E147" i="9" s="1"/>
  <c r="E158" i="9" s="1"/>
  <c r="E165" i="9" s="1"/>
  <c r="E186" i="9" s="1"/>
  <c r="E195" i="9" s="1"/>
  <c r="D23" i="9"/>
  <c r="D42" i="9" s="1"/>
  <c r="D51" i="9" s="1"/>
  <c r="D54" i="9" s="1"/>
  <c r="D64" i="9" s="1"/>
  <c r="D90" i="9" s="1"/>
  <c r="D119" i="9" s="1"/>
  <c r="D147" i="9" s="1"/>
  <c r="D158" i="9" s="1"/>
  <c r="D165" i="9" s="1"/>
  <c r="D186" i="9" s="1"/>
  <c r="D195" i="9" s="1"/>
  <c r="C23" i="9"/>
  <c r="C42" i="9" s="1"/>
  <c r="C51" i="9" s="1"/>
  <c r="C54" i="9" s="1"/>
  <c r="C64" i="9" s="1"/>
  <c r="C90" i="9" s="1"/>
  <c r="C119" i="9" s="1"/>
  <c r="C147" i="9" s="1"/>
  <c r="C158" i="9" s="1"/>
  <c r="C165" i="9" s="1"/>
  <c r="C186" i="9" s="1"/>
  <c r="C195" i="9" s="1"/>
  <c r="O21" i="9"/>
  <c r="O20" i="9"/>
  <c r="O19" i="9"/>
  <c r="O18" i="9"/>
  <c r="O17" i="9"/>
  <c r="O16" i="9"/>
  <c r="O15" i="9"/>
  <c r="O14" i="9"/>
  <c r="E13" i="9"/>
  <c r="C13" i="9"/>
  <c r="O12" i="9"/>
  <c r="N11" i="9"/>
  <c r="N10" i="9" s="1"/>
  <c r="M11" i="9"/>
  <c r="M10" i="9" s="1"/>
  <c r="L11" i="9"/>
  <c r="L10" i="9" s="1"/>
  <c r="L13" i="9" s="1"/>
  <c r="K11" i="9"/>
  <c r="K10" i="9" s="1"/>
  <c r="K13" i="9" s="1"/>
  <c r="J11" i="9"/>
  <c r="J10" i="9" s="1"/>
  <c r="J13" i="9" s="1"/>
  <c r="J22" i="9" s="1"/>
  <c r="I11" i="9"/>
  <c r="I10" i="9" s="1"/>
  <c r="I13" i="9" s="1"/>
  <c r="H11" i="9"/>
  <c r="H10" i="9" s="1"/>
  <c r="G11" i="9"/>
  <c r="G10" i="9" s="1"/>
  <c r="G13" i="9" s="1"/>
  <c r="F11" i="9"/>
  <c r="F10" i="9" s="1"/>
  <c r="F13" i="9" s="1"/>
  <c r="E11" i="9"/>
  <c r="D11" i="9"/>
  <c r="D10" i="9" s="1"/>
  <c r="C11" i="9"/>
  <c r="O9" i="9"/>
  <c r="C232" i="9" s="1"/>
  <c r="O8" i="9"/>
  <c r="O7" i="9"/>
  <c r="O6" i="9"/>
  <c r="O5" i="9"/>
  <c r="O4" i="9"/>
  <c r="J211" i="10"/>
  <c r="I58" i="9"/>
  <c r="J58" i="9" s="1"/>
  <c r="K58" i="9" s="1"/>
  <c r="L58" i="9" s="1"/>
  <c r="M58" i="9" s="1"/>
  <c r="N58" i="9" s="1"/>
  <c r="H171" i="1"/>
  <c r="J171" i="1" s="1"/>
  <c r="L171" i="1" s="1"/>
  <c r="N171" i="1" s="1"/>
  <c r="P171" i="1" s="1"/>
  <c r="R171" i="1" s="1"/>
  <c r="H172" i="1"/>
  <c r="H173" i="1"/>
  <c r="J173" i="1" s="1"/>
  <c r="L173" i="1" s="1"/>
  <c r="N173" i="1" s="1"/>
  <c r="P173" i="1" s="1"/>
  <c r="F172" i="1"/>
  <c r="F173" i="1"/>
  <c r="F171" i="1"/>
  <c r="H170" i="1"/>
  <c r="J170" i="1" s="1"/>
  <c r="L170" i="1" s="1"/>
  <c r="N170" i="1" s="1"/>
  <c r="P170" i="1" s="1"/>
  <c r="R170" i="1" s="1"/>
  <c r="T170" i="1" s="1"/>
  <c r="V170" i="1" s="1"/>
  <c r="X170" i="1" s="1"/>
  <c r="F170" i="1"/>
  <c r="F85" i="1"/>
  <c r="H85" i="1" s="1"/>
  <c r="C10" i="1"/>
  <c r="C9" i="1" s="1"/>
  <c r="AA96" i="1"/>
  <c r="AB96" i="1"/>
  <c r="F54" i="1"/>
  <c r="H54" i="1" s="1"/>
  <c r="J54" i="1" s="1"/>
  <c r="L54" i="1" s="1"/>
  <c r="N54" i="1" s="1"/>
  <c r="P54" i="1" s="1"/>
  <c r="R54" i="1" s="1"/>
  <c r="T54" i="1" s="1"/>
  <c r="AA73" i="1"/>
  <c r="D73" i="1"/>
  <c r="F73" i="1" s="1"/>
  <c r="H73" i="1" s="1"/>
  <c r="J73" i="1" s="1"/>
  <c r="L73" i="1" s="1"/>
  <c r="N73" i="1" s="1"/>
  <c r="P73" i="1" s="1"/>
  <c r="R73" i="1" s="1"/>
  <c r="T73" i="1" s="1"/>
  <c r="V73" i="1" s="1"/>
  <c r="X73" i="1" s="1"/>
  <c r="Z73" i="1" s="1"/>
  <c r="N100" i="1"/>
  <c r="L100" i="1"/>
  <c r="J100" i="1"/>
  <c r="H100" i="1"/>
  <c r="F100" i="1"/>
  <c r="D100" i="1"/>
  <c r="D102" i="1" s="1"/>
  <c r="Z36" i="1"/>
  <c r="Z39" i="1" s="1"/>
  <c r="X36" i="1"/>
  <c r="X39" i="1" s="1"/>
  <c r="V36" i="1"/>
  <c r="V39" i="1" s="1"/>
  <c r="T36" i="1"/>
  <c r="T39" i="1" s="1"/>
  <c r="R36" i="1"/>
  <c r="P36" i="1"/>
  <c r="P39" i="1" s="1"/>
  <c r="N36" i="1"/>
  <c r="N39" i="1" s="1"/>
  <c r="L36" i="1"/>
  <c r="L39" i="1" s="1"/>
  <c r="J36" i="1"/>
  <c r="J39" i="1" s="1"/>
  <c r="H36" i="1"/>
  <c r="H39" i="1" s="1"/>
  <c r="F36" i="1"/>
  <c r="D36" i="1"/>
  <c r="D39" i="1" s="1"/>
  <c r="Z50" i="1"/>
  <c r="X50" i="1"/>
  <c r="V50" i="1"/>
  <c r="T50" i="1"/>
  <c r="R50" i="1"/>
  <c r="P50" i="1"/>
  <c r="N50" i="1"/>
  <c r="L50" i="1"/>
  <c r="J50" i="1"/>
  <c r="H50" i="1"/>
  <c r="F50" i="1"/>
  <c r="D50" i="1"/>
  <c r="E50" i="1"/>
  <c r="F48" i="1"/>
  <c r="H48" i="1" s="1"/>
  <c r="F72" i="1"/>
  <c r="H72" i="1" s="1"/>
  <c r="L47" i="1"/>
  <c r="F47" i="1"/>
  <c r="H47" i="1" s="1"/>
  <c r="L71" i="1"/>
  <c r="N71" i="1" s="1"/>
  <c r="AA68" i="1"/>
  <c r="AB68" i="1"/>
  <c r="AA95" i="1"/>
  <c r="V95" i="1"/>
  <c r="X95" i="1" s="1"/>
  <c r="Z95" i="1" s="1"/>
  <c r="F95" i="1"/>
  <c r="H95" i="1" s="1"/>
  <c r="J95" i="1" s="1"/>
  <c r="AB94" i="1"/>
  <c r="AA94" i="1"/>
  <c r="AB67" i="1"/>
  <c r="AA67" i="1"/>
  <c r="AB65" i="1"/>
  <c r="AA65" i="1"/>
  <c r="F93" i="1"/>
  <c r="H93" i="1" s="1"/>
  <c r="J93" i="1" s="1"/>
  <c r="N66" i="1"/>
  <c r="P66" i="1" s="1"/>
  <c r="R66" i="1" s="1"/>
  <c r="T66" i="1" s="1"/>
  <c r="V66" i="1" s="1"/>
  <c r="X66" i="1" s="1"/>
  <c r="Z66" i="1" s="1"/>
  <c r="D66" i="1"/>
  <c r="F91" i="1"/>
  <c r="H91" i="1" s="1"/>
  <c r="J91" i="1" s="1"/>
  <c r="AB90" i="1"/>
  <c r="E90" i="1"/>
  <c r="G90" i="1" s="1"/>
  <c r="I90" i="1" s="1"/>
  <c r="K90" i="1" s="1"/>
  <c r="M90" i="1" s="1"/>
  <c r="O90" i="1" s="1"/>
  <c r="Q90" i="1" s="1"/>
  <c r="S90" i="1" s="1"/>
  <c r="U90" i="1" s="1"/>
  <c r="W90" i="1" s="1"/>
  <c r="Y90" i="1" s="1"/>
  <c r="AA62" i="1"/>
  <c r="AB62" i="1"/>
  <c r="AA99" i="1"/>
  <c r="AB44" i="1"/>
  <c r="AB82" i="1"/>
  <c r="AA82" i="1"/>
  <c r="AB57" i="1"/>
  <c r="AA57" i="1"/>
  <c r="K87" i="1"/>
  <c r="I87" i="1" s="1"/>
  <c r="AB64" i="1"/>
  <c r="AB80" i="1"/>
  <c r="F60" i="1"/>
  <c r="F59" i="1"/>
  <c r="H59" i="1" s="1"/>
  <c r="J59" i="1" s="1"/>
  <c r="L59" i="1" s="1"/>
  <c r="N59" i="1" s="1"/>
  <c r="P59" i="1" s="1"/>
  <c r="F56" i="1"/>
  <c r="H56" i="1" s="1"/>
  <c r="J56" i="1" s="1"/>
  <c r="L56" i="1" s="1"/>
  <c r="N56" i="1" s="1"/>
  <c r="P56" i="1" s="1"/>
  <c r="R56" i="1" s="1"/>
  <c r="T56" i="1" s="1"/>
  <c r="V56" i="1" s="1"/>
  <c r="X56" i="1" s="1"/>
  <c r="Z56" i="1" s="1"/>
  <c r="X55" i="1"/>
  <c r="F58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B22" i="1"/>
  <c r="AB31" i="1" s="1"/>
  <c r="AB40" i="1" s="1"/>
  <c r="AB43" i="1" s="1"/>
  <c r="AB53" i="1" s="1"/>
  <c r="D167" i="1"/>
  <c r="D159" i="1"/>
  <c r="D142" i="1"/>
  <c r="D128" i="1"/>
  <c r="D42" i="1"/>
  <c r="D30" i="1"/>
  <c r="D22" i="1"/>
  <c r="D31" i="1" s="1"/>
  <c r="D40" i="1" s="1"/>
  <c r="D43" i="1" s="1"/>
  <c r="D53" i="1" s="1"/>
  <c r="D79" i="1" s="1"/>
  <c r="D103" i="1" s="1"/>
  <c r="D129" i="1" s="1"/>
  <c r="D136" i="1" s="1"/>
  <c r="D143" i="1" s="1"/>
  <c r="D160" i="1" s="1"/>
  <c r="D168" i="1" s="1"/>
  <c r="D21" i="1"/>
  <c r="F167" i="1"/>
  <c r="F159" i="1"/>
  <c r="F142" i="1"/>
  <c r="F128" i="1"/>
  <c r="F42" i="1"/>
  <c r="F30" i="1"/>
  <c r="F22" i="1"/>
  <c r="F31" i="1" s="1"/>
  <c r="F40" i="1" s="1"/>
  <c r="F43" i="1" s="1"/>
  <c r="F53" i="1" s="1"/>
  <c r="F79" i="1" s="1"/>
  <c r="F103" i="1" s="1"/>
  <c r="F129" i="1" s="1"/>
  <c r="F136" i="1" s="1"/>
  <c r="F143" i="1" s="1"/>
  <c r="F160" i="1" s="1"/>
  <c r="F168" i="1" s="1"/>
  <c r="F21" i="1"/>
  <c r="H167" i="1"/>
  <c r="H159" i="1"/>
  <c r="H142" i="1"/>
  <c r="H128" i="1"/>
  <c r="H42" i="1"/>
  <c r="H30" i="1"/>
  <c r="H22" i="1"/>
  <c r="H31" i="1" s="1"/>
  <c r="H40" i="1" s="1"/>
  <c r="H43" i="1" s="1"/>
  <c r="H53" i="1" s="1"/>
  <c r="H79" i="1" s="1"/>
  <c r="H103" i="1" s="1"/>
  <c r="H129" i="1" s="1"/>
  <c r="H136" i="1" s="1"/>
  <c r="H143" i="1" s="1"/>
  <c r="H160" i="1" s="1"/>
  <c r="H168" i="1" s="1"/>
  <c r="H21" i="1"/>
  <c r="J167" i="1"/>
  <c r="J159" i="1"/>
  <c r="J142" i="1"/>
  <c r="J128" i="1"/>
  <c r="J42" i="1"/>
  <c r="J30" i="1"/>
  <c r="J22" i="1"/>
  <c r="J31" i="1" s="1"/>
  <c r="J40" i="1" s="1"/>
  <c r="J43" i="1" s="1"/>
  <c r="J53" i="1" s="1"/>
  <c r="J79" i="1" s="1"/>
  <c r="J103" i="1" s="1"/>
  <c r="J129" i="1" s="1"/>
  <c r="J136" i="1" s="1"/>
  <c r="J143" i="1" s="1"/>
  <c r="J160" i="1" s="1"/>
  <c r="J168" i="1" s="1"/>
  <c r="J21" i="1"/>
  <c r="L167" i="1"/>
  <c r="L159" i="1"/>
  <c r="L142" i="1"/>
  <c r="L128" i="1"/>
  <c r="L42" i="1"/>
  <c r="L30" i="1"/>
  <c r="L22" i="1"/>
  <c r="L31" i="1" s="1"/>
  <c r="L40" i="1" s="1"/>
  <c r="L43" i="1" s="1"/>
  <c r="L53" i="1" s="1"/>
  <c r="L79" i="1" s="1"/>
  <c r="L103" i="1" s="1"/>
  <c r="L129" i="1" s="1"/>
  <c r="L136" i="1" s="1"/>
  <c r="L143" i="1" s="1"/>
  <c r="L160" i="1" s="1"/>
  <c r="L168" i="1" s="1"/>
  <c r="L21" i="1"/>
  <c r="N167" i="1"/>
  <c r="N159" i="1"/>
  <c r="N142" i="1"/>
  <c r="N128" i="1"/>
  <c r="N42" i="1"/>
  <c r="N30" i="1"/>
  <c r="N22" i="1"/>
  <c r="N31" i="1" s="1"/>
  <c r="N40" i="1" s="1"/>
  <c r="N43" i="1" s="1"/>
  <c r="N53" i="1" s="1"/>
  <c r="N79" i="1" s="1"/>
  <c r="N103" i="1" s="1"/>
  <c r="N129" i="1" s="1"/>
  <c r="N136" i="1" s="1"/>
  <c r="N143" i="1" s="1"/>
  <c r="N160" i="1" s="1"/>
  <c r="N168" i="1" s="1"/>
  <c r="N21" i="1"/>
  <c r="P167" i="1"/>
  <c r="P159" i="1"/>
  <c r="P142" i="1"/>
  <c r="P128" i="1"/>
  <c r="P42" i="1"/>
  <c r="P30" i="1"/>
  <c r="P22" i="1"/>
  <c r="P31" i="1" s="1"/>
  <c r="P40" i="1" s="1"/>
  <c r="P43" i="1" s="1"/>
  <c r="P53" i="1" s="1"/>
  <c r="P79" i="1" s="1"/>
  <c r="P103" i="1" s="1"/>
  <c r="P129" i="1" s="1"/>
  <c r="P136" i="1" s="1"/>
  <c r="P143" i="1" s="1"/>
  <c r="P160" i="1" s="1"/>
  <c r="P168" i="1" s="1"/>
  <c r="P21" i="1"/>
  <c r="R167" i="1"/>
  <c r="R159" i="1"/>
  <c r="R142" i="1"/>
  <c r="R128" i="1"/>
  <c r="R42" i="1"/>
  <c r="R39" i="1"/>
  <c r="R30" i="1"/>
  <c r="R22" i="1"/>
  <c r="R31" i="1" s="1"/>
  <c r="R40" i="1" s="1"/>
  <c r="R43" i="1" s="1"/>
  <c r="R53" i="1" s="1"/>
  <c r="R79" i="1" s="1"/>
  <c r="R103" i="1" s="1"/>
  <c r="R129" i="1" s="1"/>
  <c r="R136" i="1" s="1"/>
  <c r="R143" i="1" s="1"/>
  <c r="R160" i="1" s="1"/>
  <c r="R168" i="1" s="1"/>
  <c r="R21" i="1"/>
  <c r="T167" i="1"/>
  <c r="T159" i="1"/>
  <c r="T142" i="1"/>
  <c r="T128" i="1"/>
  <c r="T42" i="1"/>
  <c r="T30" i="1"/>
  <c r="T22" i="1"/>
  <c r="T31" i="1" s="1"/>
  <c r="T40" i="1" s="1"/>
  <c r="T43" i="1" s="1"/>
  <c r="T53" i="1" s="1"/>
  <c r="T79" i="1" s="1"/>
  <c r="T103" i="1" s="1"/>
  <c r="T129" i="1" s="1"/>
  <c r="T136" i="1" s="1"/>
  <c r="T143" i="1" s="1"/>
  <c r="T160" i="1" s="1"/>
  <c r="T168" i="1" s="1"/>
  <c r="T21" i="1"/>
  <c r="V167" i="1"/>
  <c r="V159" i="1"/>
  <c r="V142" i="1"/>
  <c r="V128" i="1"/>
  <c r="V42" i="1"/>
  <c r="V30" i="1"/>
  <c r="V22" i="1"/>
  <c r="V31" i="1" s="1"/>
  <c r="V40" i="1" s="1"/>
  <c r="V43" i="1" s="1"/>
  <c r="V53" i="1" s="1"/>
  <c r="V79" i="1" s="1"/>
  <c r="V103" i="1" s="1"/>
  <c r="V129" i="1" s="1"/>
  <c r="V136" i="1" s="1"/>
  <c r="V143" i="1" s="1"/>
  <c r="V160" i="1" s="1"/>
  <c r="V168" i="1" s="1"/>
  <c r="V21" i="1"/>
  <c r="X167" i="1"/>
  <c r="X159" i="1"/>
  <c r="X142" i="1"/>
  <c r="X128" i="1"/>
  <c r="X42" i="1"/>
  <c r="X30" i="1"/>
  <c r="X22" i="1"/>
  <c r="X31" i="1" s="1"/>
  <c r="X40" i="1" s="1"/>
  <c r="X43" i="1" s="1"/>
  <c r="X53" i="1" s="1"/>
  <c r="X79" i="1" s="1"/>
  <c r="X103" i="1" s="1"/>
  <c r="X129" i="1" s="1"/>
  <c r="X136" i="1" s="1"/>
  <c r="X143" i="1" s="1"/>
  <c r="X160" i="1" s="1"/>
  <c r="X168" i="1" s="1"/>
  <c r="X21" i="1"/>
  <c r="Z22" i="1"/>
  <c r="Z31" i="1" s="1"/>
  <c r="Z40" i="1" s="1"/>
  <c r="Z43" i="1" s="1"/>
  <c r="Z53" i="1" s="1"/>
  <c r="Z79" i="1" s="1"/>
  <c r="Z103" i="1" s="1"/>
  <c r="Z129" i="1" s="1"/>
  <c r="Z136" i="1" s="1"/>
  <c r="Z143" i="1" s="1"/>
  <c r="Z160" i="1" s="1"/>
  <c r="Z168" i="1" s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61" i="1"/>
  <c r="AB162" i="1"/>
  <c r="AB165" i="1"/>
  <c r="AB166" i="1"/>
  <c r="AB163" i="1"/>
  <c r="AB145" i="1"/>
  <c r="AB158" i="1"/>
  <c r="AB151" i="1"/>
  <c r="AB150" i="1"/>
  <c r="AB153" i="1"/>
  <c r="AB147" i="1"/>
  <c r="AB152" i="1"/>
  <c r="AB144" i="1"/>
  <c r="AB155" i="1"/>
  <c r="AB149" i="1"/>
  <c r="AB154" i="1"/>
  <c r="AB157" i="1"/>
  <c r="AB146" i="1"/>
  <c r="AB148" i="1"/>
  <c r="AB138" i="1"/>
  <c r="AB139" i="1"/>
  <c r="AB140" i="1"/>
  <c r="AB141" i="1"/>
  <c r="AB131" i="1"/>
  <c r="AB132" i="1"/>
  <c r="AB133" i="1"/>
  <c r="AB134" i="1"/>
  <c r="AB116" i="1"/>
  <c r="AB110" i="1"/>
  <c r="AB114" i="1"/>
  <c r="AB115" i="1"/>
  <c r="AB107" i="1"/>
  <c r="AB122" i="1"/>
  <c r="AB120" i="1"/>
  <c r="AB104" i="1"/>
  <c r="AB127" i="1"/>
  <c r="AB126" i="1"/>
  <c r="AB124" i="1"/>
  <c r="AB123" i="1"/>
  <c r="AB125" i="1"/>
  <c r="AB118" i="1"/>
  <c r="AB117" i="1"/>
  <c r="AB106" i="1"/>
  <c r="AB109" i="1"/>
  <c r="AB105" i="1"/>
  <c r="AB119" i="1"/>
  <c r="AB108" i="1"/>
  <c r="AB112" i="1"/>
  <c r="AB111" i="1"/>
  <c r="AB121" i="1"/>
  <c r="AB81" i="1"/>
  <c r="AB83" i="1"/>
  <c r="AB84" i="1"/>
  <c r="AB86" i="1"/>
  <c r="AB87" i="1"/>
  <c r="AB88" i="1"/>
  <c r="AB89" i="1"/>
  <c r="AB97" i="1"/>
  <c r="AB99" i="1"/>
  <c r="AB98" i="1"/>
  <c r="AB92" i="1"/>
  <c r="AB61" i="1"/>
  <c r="AB63" i="1"/>
  <c r="AB69" i="1"/>
  <c r="AB70" i="1"/>
  <c r="AB74" i="1"/>
  <c r="AB164" i="1"/>
  <c r="AB156" i="1"/>
  <c r="AB137" i="1"/>
  <c r="AB130" i="1"/>
  <c r="AB113" i="1"/>
  <c r="AB58" i="1"/>
  <c r="AA116" i="1"/>
  <c r="AA110" i="1"/>
  <c r="AA114" i="1"/>
  <c r="AA115" i="1"/>
  <c r="AA107" i="1"/>
  <c r="AA122" i="1"/>
  <c r="AA120" i="1"/>
  <c r="AA104" i="1"/>
  <c r="AA127" i="1"/>
  <c r="AA126" i="1"/>
  <c r="AA124" i="1"/>
  <c r="AA123" i="1"/>
  <c r="AA125" i="1"/>
  <c r="AA118" i="1"/>
  <c r="AA117" i="1"/>
  <c r="AA106" i="1"/>
  <c r="AA109" i="1"/>
  <c r="AA105" i="1"/>
  <c r="AA119" i="1"/>
  <c r="AA108" i="1"/>
  <c r="AA112" i="1"/>
  <c r="AA111" i="1"/>
  <c r="AA121" i="1"/>
  <c r="AA131" i="1"/>
  <c r="AA132" i="1"/>
  <c r="AA133" i="1"/>
  <c r="AA134" i="1"/>
  <c r="AA138" i="1"/>
  <c r="AA139" i="1"/>
  <c r="AA140" i="1"/>
  <c r="AA141" i="1"/>
  <c r="AA151" i="1"/>
  <c r="AA150" i="1"/>
  <c r="AA153" i="1"/>
  <c r="AA147" i="1"/>
  <c r="AA152" i="1"/>
  <c r="AA144" i="1"/>
  <c r="AA155" i="1"/>
  <c r="AA157" i="1"/>
  <c r="AA146" i="1"/>
  <c r="AA148" i="1"/>
  <c r="AA161" i="1"/>
  <c r="AA162" i="1"/>
  <c r="AA165" i="1"/>
  <c r="AA166" i="1"/>
  <c r="AA163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70" i="1"/>
  <c r="AA164" i="1"/>
  <c r="AA137" i="1"/>
  <c r="AA130" i="1"/>
  <c r="AA113" i="1"/>
  <c r="AA83" i="1"/>
  <c r="AA84" i="1"/>
  <c r="AA97" i="1"/>
  <c r="AA98" i="1"/>
  <c r="AA92" i="1"/>
  <c r="AA80" i="1"/>
  <c r="AA54" i="1"/>
  <c r="AA55" i="1"/>
  <c r="AA69" i="1"/>
  <c r="AA70" i="1"/>
  <c r="AA71" i="1"/>
  <c r="AA49" i="1"/>
  <c r="AA48" i="1"/>
  <c r="AB49" i="1"/>
  <c r="AB51" i="1"/>
  <c r="AB46" i="1"/>
  <c r="AB45" i="1"/>
  <c r="AB41" i="1"/>
  <c r="AB42" i="1" s="1"/>
  <c r="AB34" i="1"/>
  <c r="AB37" i="1"/>
  <c r="AB38" i="1"/>
  <c r="AB35" i="1"/>
  <c r="AB32" i="1"/>
  <c r="AB33" i="1"/>
  <c r="AB24" i="1"/>
  <c r="AB23" i="1"/>
  <c r="AB25" i="1"/>
  <c r="AB28" i="1"/>
  <c r="AB27" i="1"/>
  <c r="AB29" i="1"/>
  <c r="AB26" i="1"/>
  <c r="AB5" i="1"/>
  <c r="AB13" i="1"/>
  <c r="AB15" i="1"/>
  <c r="AB19" i="1"/>
  <c r="AB14" i="1"/>
  <c r="AB17" i="1"/>
  <c r="AB4" i="1"/>
  <c r="AB10" i="1"/>
  <c r="AB12" i="1"/>
  <c r="AB9" i="1"/>
  <c r="AB8" i="1"/>
  <c r="AB7" i="1"/>
  <c r="AB6" i="1"/>
  <c r="AB18" i="1"/>
  <c r="AB16" i="1"/>
  <c r="AB11" i="1"/>
  <c r="AB20" i="1"/>
  <c r="D192" i="1"/>
  <c r="E192" i="1"/>
  <c r="G192" i="1"/>
  <c r="I192" i="1"/>
  <c r="K192" i="1"/>
  <c r="M192" i="1"/>
  <c r="O192" i="1"/>
  <c r="Q192" i="1"/>
  <c r="S192" i="1"/>
  <c r="U192" i="1"/>
  <c r="W192" i="1"/>
  <c r="Y192" i="1"/>
  <c r="E167" i="1"/>
  <c r="G167" i="1"/>
  <c r="I167" i="1"/>
  <c r="K167" i="1"/>
  <c r="M167" i="1"/>
  <c r="O167" i="1"/>
  <c r="Q167" i="1"/>
  <c r="S167" i="1"/>
  <c r="U167" i="1"/>
  <c r="W167" i="1"/>
  <c r="Y167" i="1"/>
  <c r="Z167" i="1"/>
  <c r="Z159" i="1"/>
  <c r="E142" i="1"/>
  <c r="G142" i="1"/>
  <c r="I142" i="1"/>
  <c r="K142" i="1"/>
  <c r="M142" i="1"/>
  <c r="O142" i="1"/>
  <c r="Q142" i="1"/>
  <c r="S142" i="1"/>
  <c r="U142" i="1"/>
  <c r="W142" i="1"/>
  <c r="Y142" i="1"/>
  <c r="Z142" i="1"/>
  <c r="E128" i="1"/>
  <c r="G128" i="1"/>
  <c r="I128" i="1"/>
  <c r="K128" i="1"/>
  <c r="M128" i="1"/>
  <c r="O128" i="1"/>
  <c r="Q128" i="1"/>
  <c r="S128" i="1"/>
  <c r="U128" i="1"/>
  <c r="W128" i="1"/>
  <c r="Y128" i="1"/>
  <c r="Z128" i="1"/>
  <c r="Z42" i="1"/>
  <c r="Z30" i="1"/>
  <c r="Z21" i="1"/>
  <c r="AA7" i="1"/>
  <c r="AA18" i="1"/>
  <c r="AA16" i="1"/>
  <c r="AA11" i="1"/>
  <c r="Q100" i="1"/>
  <c r="S100" i="1" s="1"/>
  <c r="U100" i="1" s="1"/>
  <c r="W100" i="1" s="1"/>
  <c r="Y100" i="1" s="1"/>
  <c r="M61" i="1"/>
  <c r="AA61" i="1" s="1"/>
  <c r="Y63" i="1"/>
  <c r="AA63" i="1" s="1"/>
  <c r="C142" i="1"/>
  <c r="I64" i="1"/>
  <c r="U64" i="1" s="1"/>
  <c r="E5" i="1"/>
  <c r="Y149" i="1"/>
  <c r="W149" i="1"/>
  <c r="U149" i="1"/>
  <c r="S149" i="1"/>
  <c r="Q149" i="1"/>
  <c r="O149" i="1"/>
  <c r="M149" i="1"/>
  <c r="K149" i="1"/>
  <c r="I149" i="1"/>
  <c r="G149" i="1"/>
  <c r="E149" i="1"/>
  <c r="C149" i="1"/>
  <c r="G4" i="1"/>
  <c r="I4" i="1" s="1"/>
  <c r="K4" i="1" s="1"/>
  <c r="S4" i="1"/>
  <c r="U4" i="1" s="1"/>
  <c r="W4" i="1" s="1"/>
  <c r="Y4" i="1" s="1"/>
  <c r="C58" i="1"/>
  <c r="C78" i="1" s="1"/>
  <c r="E41" i="1"/>
  <c r="C29" i="1"/>
  <c r="E29" i="1" s="1"/>
  <c r="G29" i="1" s="1"/>
  <c r="I29" i="1" s="1"/>
  <c r="K29" i="1" s="1"/>
  <c r="M29" i="1" s="1"/>
  <c r="O29" i="1" s="1"/>
  <c r="Q29" i="1" s="1"/>
  <c r="S29" i="1" s="1"/>
  <c r="U29" i="1" s="1"/>
  <c r="W29" i="1" s="1"/>
  <c r="Y29" i="1" s="1"/>
  <c r="C27" i="1"/>
  <c r="E27" i="1" s="1"/>
  <c r="C28" i="1"/>
  <c r="C25" i="1"/>
  <c r="C23" i="1"/>
  <c r="E23" i="1" s="1"/>
  <c r="C24" i="1"/>
  <c r="E24" i="1" s="1"/>
  <c r="G24" i="1" s="1"/>
  <c r="I24" i="1" s="1"/>
  <c r="K24" i="1" s="1"/>
  <c r="M24" i="1" s="1"/>
  <c r="C26" i="1"/>
  <c r="E26" i="1" s="1"/>
  <c r="G26" i="1" s="1"/>
  <c r="I26" i="1" s="1"/>
  <c r="K26" i="1" s="1"/>
  <c r="M26" i="1" s="1"/>
  <c r="O26" i="1" s="1"/>
  <c r="Q26" i="1" s="1"/>
  <c r="S26" i="1" s="1"/>
  <c r="U26" i="1" s="1"/>
  <c r="W26" i="1" s="1"/>
  <c r="Y26" i="1" s="1"/>
  <c r="S46" i="1"/>
  <c r="AA46" i="1" s="1"/>
  <c r="E91" i="1"/>
  <c r="G91" i="1" s="1"/>
  <c r="I91" i="1" s="1"/>
  <c r="K91" i="1" s="1"/>
  <c r="E85" i="1"/>
  <c r="C85" i="1" s="1"/>
  <c r="E45" i="1"/>
  <c r="G45" i="1" s="1"/>
  <c r="I45" i="1" s="1"/>
  <c r="K45" i="1" s="1"/>
  <c r="M45" i="1" s="1"/>
  <c r="O45" i="1" s="1"/>
  <c r="Q45" i="1" s="1"/>
  <c r="S45" i="1" s="1"/>
  <c r="U45" i="1" s="1"/>
  <c r="E33" i="1"/>
  <c r="G33" i="1" s="1"/>
  <c r="E32" i="1"/>
  <c r="G32" i="1" s="1"/>
  <c r="I32" i="1" s="1"/>
  <c r="K32" i="1" s="1"/>
  <c r="M32" i="1" s="1"/>
  <c r="O32" i="1" s="1"/>
  <c r="Q32" i="1" s="1"/>
  <c r="E35" i="1"/>
  <c r="G35" i="1" s="1"/>
  <c r="I35" i="1" s="1"/>
  <c r="K35" i="1" s="1"/>
  <c r="M35" i="1" s="1"/>
  <c r="O35" i="1" s="1"/>
  <c r="Q35" i="1" s="1"/>
  <c r="S35" i="1" s="1"/>
  <c r="U35" i="1" s="1"/>
  <c r="W35" i="1" s="1"/>
  <c r="Y35" i="1" s="1"/>
  <c r="E36" i="1"/>
  <c r="G36" i="1" s="1"/>
  <c r="I36" i="1" s="1"/>
  <c r="E38" i="1"/>
  <c r="G38" i="1" s="1"/>
  <c r="I38" i="1" s="1"/>
  <c r="K38" i="1" s="1"/>
  <c r="M38" i="1" s="1"/>
  <c r="O38" i="1" s="1"/>
  <c r="Q38" i="1" s="1"/>
  <c r="S38" i="1" s="1"/>
  <c r="E37" i="1"/>
  <c r="G37" i="1" s="1"/>
  <c r="I37" i="1" s="1"/>
  <c r="K37" i="1" s="1"/>
  <c r="M37" i="1" s="1"/>
  <c r="O37" i="1" s="1"/>
  <c r="Q37" i="1" s="1"/>
  <c r="S37" i="1" s="1"/>
  <c r="U37" i="1" s="1"/>
  <c r="W37" i="1" s="1"/>
  <c r="Y37" i="1" s="1"/>
  <c r="Q86" i="1"/>
  <c r="Q81" i="1"/>
  <c r="I93" i="1"/>
  <c r="K93" i="1" s="1"/>
  <c r="M93" i="1" s="1"/>
  <c r="O93" i="1" s="1"/>
  <c r="Q93" i="1" s="1"/>
  <c r="S93" i="1" s="1"/>
  <c r="U93" i="1" s="1"/>
  <c r="W93" i="1" s="1"/>
  <c r="Y93" i="1" s="1"/>
  <c r="M66" i="1"/>
  <c r="Q59" i="1"/>
  <c r="S59" i="1" s="1"/>
  <c r="U59" i="1" s="1"/>
  <c r="W59" i="1" s="1"/>
  <c r="Y59" i="1" s="1"/>
  <c r="U72" i="1"/>
  <c r="M47" i="1"/>
  <c r="O47" i="1"/>
  <c r="M87" i="1"/>
  <c r="O87" i="1" s="1"/>
  <c r="Q47" i="1"/>
  <c r="U60" i="1"/>
  <c r="S47" i="1"/>
  <c r="U47" i="1"/>
  <c r="W47" i="1"/>
  <c r="Y47" i="1"/>
  <c r="K47" i="1"/>
  <c r="Y60" i="1"/>
  <c r="W60" i="1"/>
  <c r="C51" i="1"/>
  <c r="C52" i="1" s="1"/>
  <c r="AA44" i="1"/>
  <c r="C89" i="1"/>
  <c r="E89" i="1" s="1"/>
  <c r="C88" i="1"/>
  <c r="E88" i="1" s="1"/>
  <c r="C34" i="1"/>
  <c r="E34" i="1" s="1"/>
  <c r="G34" i="1" s="1"/>
  <c r="I34" i="1" s="1"/>
  <c r="K34" i="1" s="1"/>
  <c r="C81" i="1"/>
  <c r="E17" i="1"/>
  <c r="G17" i="1" s="1"/>
  <c r="I17" i="1" s="1"/>
  <c r="K17" i="1" s="1"/>
  <c r="M17" i="1" s="1"/>
  <c r="O17" i="1" s="1"/>
  <c r="Q17" i="1" s="1"/>
  <c r="S17" i="1" s="1"/>
  <c r="E6" i="1"/>
  <c r="G6" i="1" s="1"/>
  <c r="I6" i="1" s="1"/>
  <c r="K6" i="1" s="1"/>
  <c r="M6" i="1" s="1"/>
  <c r="O6" i="1" s="1"/>
  <c r="Q6" i="1" s="1"/>
  <c r="S6" i="1" s="1"/>
  <c r="U6" i="1" s="1"/>
  <c r="W6" i="1" s="1"/>
  <c r="Y6" i="1" s="1"/>
  <c r="E8" i="1"/>
  <c r="G13" i="1"/>
  <c r="I13" i="1" s="1"/>
  <c r="K13" i="1" s="1"/>
  <c r="M13" i="1" s="1"/>
  <c r="O13" i="1" s="1"/>
  <c r="E15" i="1"/>
  <c r="E19" i="1"/>
  <c r="G19" i="1" s="1"/>
  <c r="I19" i="1" s="1"/>
  <c r="K19" i="1" s="1"/>
  <c r="M19" i="1" s="1"/>
  <c r="O19" i="1" s="1"/>
  <c r="Q19" i="1" s="1"/>
  <c r="S19" i="1" s="1"/>
  <c r="U19" i="1" s="1"/>
  <c r="W19" i="1" s="1"/>
  <c r="Y19" i="1" s="1"/>
  <c r="E14" i="1"/>
  <c r="G14" i="1" s="1"/>
  <c r="I14" i="1" s="1"/>
  <c r="K14" i="1" s="1"/>
  <c r="M14" i="1" s="1"/>
  <c r="O14" i="1" s="1"/>
  <c r="Q14" i="1" s="1"/>
  <c r="S14" i="1" s="1"/>
  <c r="U14" i="1" s="1"/>
  <c r="W14" i="1" s="1"/>
  <c r="Y14" i="1" s="1"/>
  <c r="G5" i="1"/>
  <c r="G20" i="1"/>
  <c r="I20" i="1" s="1"/>
  <c r="C12" i="1"/>
  <c r="K206" i="1"/>
  <c r="S206" i="1" s="1"/>
  <c r="K205" i="1"/>
  <c r="S205" i="1" s="1"/>
  <c r="K208" i="1"/>
  <c r="S208" i="1" s="1"/>
  <c r="K209" i="1"/>
  <c r="S209" i="1" s="1"/>
  <c r="I210" i="1"/>
  <c r="I207" i="1"/>
  <c r="AA194" i="1"/>
  <c r="AA195" i="1" s="1"/>
  <c r="G207" i="1"/>
  <c r="E210" i="1"/>
  <c r="C210" i="1"/>
  <c r="E207" i="1"/>
  <c r="C207" i="1"/>
  <c r="C192" i="1"/>
  <c r="Y195" i="1"/>
  <c r="W195" i="1"/>
  <c r="U195" i="1"/>
  <c r="S195" i="1"/>
  <c r="Q195" i="1"/>
  <c r="O195" i="1"/>
  <c r="M195" i="1"/>
  <c r="K195" i="1"/>
  <c r="I195" i="1"/>
  <c r="G195" i="1"/>
  <c r="E195" i="1"/>
  <c r="C195" i="1"/>
  <c r="C135" i="1"/>
  <c r="Q74" i="1"/>
  <c r="AA74" i="1" s="1"/>
  <c r="C167" i="1"/>
  <c r="AA169" i="1"/>
  <c r="C128" i="1"/>
  <c r="C42" i="1"/>
  <c r="E68" i="10"/>
  <c r="F68" i="10" s="1"/>
  <c r="G68" i="10" s="1"/>
  <c r="H68" i="10" s="1"/>
  <c r="J172" i="1"/>
  <c r="P71" i="1"/>
  <c r="R71" i="1" s="1"/>
  <c r="T71" i="1" s="1"/>
  <c r="V71" i="1" s="1"/>
  <c r="X71" i="1" s="1"/>
  <c r="Z71" i="1" s="1"/>
  <c r="E68" i="9"/>
  <c r="F68" i="9" s="1"/>
  <c r="G68" i="9" s="1"/>
  <c r="H68" i="9" s="1"/>
  <c r="E69" i="10"/>
  <c r="F69" i="10" s="1"/>
  <c r="G50" i="1"/>
  <c r="I50" i="1" s="1"/>
  <c r="K50" i="1" s="1"/>
  <c r="M50" i="1" s="1"/>
  <c r="O50" i="1" s="1"/>
  <c r="Q50" i="1" s="1"/>
  <c r="S50" i="1" s="1"/>
  <c r="U50" i="1" s="1"/>
  <c r="W50" i="1" s="1"/>
  <c r="Y50" i="1" s="1"/>
  <c r="F105" i="10"/>
  <c r="G105" i="10" s="1"/>
  <c r="F211" i="10"/>
  <c r="F103" i="9"/>
  <c r="G103" i="9" s="1"/>
  <c r="H103" i="9" s="1"/>
  <c r="I103" i="9" s="1"/>
  <c r="J103" i="9" s="1"/>
  <c r="K103" i="9" s="1"/>
  <c r="C63" i="10"/>
  <c r="K13" i="10"/>
  <c r="K22" i="10"/>
  <c r="D78" i="1" l="1"/>
  <c r="O113" i="10"/>
  <c r="O159" i="10"/>
  <c r="D63" i="10"/>
  <c r="AA167" i="1"/>
  <c r="AB135" i="1"/>
  <c r="C39" i="1"/>
  <c r="O92" i="10"/>
  <c r="O100" i="1"/>
  <c r="O61" i="10"/>
  <c r="F192" i="1"/>
  <c r="E58" i="10"/>
  <c r="E63" i="10" s="1"/>
  <c r="G63" i="10"/>
  <c r="F52" i="1"/>
  <c r="O157" i="9"/>
  <c r="E22" i="10"/>
  <c r="Q64" i="1"/>
  <c r="O41" i="9"/>
  <c r="C120" i="10"/>
  <c r="H192" i="1"/>
  <c r="O203" i="9"/>
  <c r="F13" i="10"/>
  <c r="F22" i="10"/>
  <c r="E22" i="9"/>
  <c r="O164" i="9"/>
  <c r="C231" i="9" s="1"/>
  <c r="O167" i="9"/>
  <c r="G63" i="9"/>
  <c r="D118" i="9"/>
  <c r="C22" i="10"/>
  <c r="O61" i="9"/>
  <c r="AB56" i="1"/>
  <c r="Y64" i="1"/>
  <c r="AA128" i="1"/>
  <c r="S64" i="1"/>
  <c r="O11" i="10"/>
  <c r="O84" i="10"/>
  <c r="E51" i="1"/>
  <c r="G51" i="1" s="1"/>
  <c r="G52" i="1" s="1"/>
  <c r="I22" i="9"/>
  <c r="L80" i="9"/>
  <c r="M80" i="9" s="1"/>
  <c r="N80" i="9" s="1"/>
  <c r="F105" i="9"/>
  <c r="G105" i="9" s="1"/>
  <c r="H105" i="9" s="1"/>
  <c r="E118" i="9"/>
  <c r="O10" i="10"/>
  <c r="C243" i="10" s="1"/>
  <c r="D13" i="10"/>
  <c r="D22" i="10" s="1"/>
  <c r="K22" i="9"/>
  <c r="O50" i="9"/>
  <c r="H102" i="1"/>
  <c r="G93" i="1"/>
  <c r="AA93" i="1" s="1"/>
  <c r="AB142" i="1"/>
  <c r="AB128" i="1"/>
  <c r="AB159" i="1"/>
  <c r="K207" i="1"/>
  <c r="S207" i="1" s="1"/>
  <c r="W64" i="1"/>
  <c r="H59" i="10"/>
  <c r="F102" i="1"/>
  <c r="AB36" i="1"/>
  <c r="AB39" i="1" s="1"/>
  <c r="F63" i="9"/>
  <c r="O148" i="10"/>
  <c r="O169" i="10"/>
  <c r="K64" i="1"/>
  <c r="M64" i="1"/>
  <c r="D75" i="10"/>
  <c r="O64" i="1"/>
  <c r="F63" i="10"/>
  <c r="AA47" i="1"/>
  <c r="J209" i="9"/>
  <c r="C22" i="9"/>
  <c r="W45" i="1"/>
  <c r="Y45" i="1" s="1"/>
  <c r="K118" i="9"/>
  <c r="L103" i="9"/>
  <c r="I68" i="9"/>
  <c r="J68" i="9" s="1"/>
  <c r="K68" i="9" s="1"/>
  <c r="L68" i="9" s="1"/>
  <c r="M68" i="9" s="1"/>
  <c r="H89" i="9"/>
  <c r="W72" i="1"/>
  <c r="Y72" i="1" s="1"/>
  <c r="L93" i="1"/>
  <c r="N93" i="1" s="1"/>
  <c r="P93" i="1" s="1"/>
  <c r="R93" i="1" s="1"/>
  <c r="T93" i="1" s="1"/>
  <c r="V93" i="1" s="1"/>
  <c r="X93" i="1" s="1"/>
  <c r="Z93" i="1" s="1"/>
  <c r="N13" i="9"/>
  <c r="N22" i="9" s="1"/>
  <c r="L199" i="10"/>
  <c r="J82" i="10"/>
  <c r="K82" i="10" s="1"/>
  <c r="L82" i="10" s="1"/>
  <c r="M82" i="10" s="1"/>
  <c r="N82" i="10" s="1"/>
  <c r="D120" i="10"/>
  <c r="E107" i="10"/>
  <c r="D13" i="9"/>
  <c r="D22" i="9" s="1"/>
  <c r="AA100" i="1"/>
  <c r="O81" i="1"/>
  <c r="S81" i="1"/>
  <c r="U81" i="1" s="1"/>
  <c r="W81" i="1" s="1"/>
  <c r="Y81" i="1" s="1"/>
  <c r="E25" i="1"/>
  <c r="G25" i="1" s="1"/>
  <c r="I25" i="1" s="1"/>
  <c r="K25" i="1" s="1"/>
  <c r="M25" i="1" s="1"/>
  <c r="O25" i="1" s="1"/>
  <c r="Q25" i="1" s="1"/>
  <c r="S25" i="1" s="1"/>
  <c r="U25" i="1" s="1"/>
  <c r="W25" i="1" s="1"/>
  <c r="Y25" i="1" s="1"/>
  <c r="AA135" i="1"/>
  <c r="L197" i="9"/>
  <c r="C196" i="10"/>
  <c r="O192" i="10"/>
  <c r="O196" i="10" s="1"/>
  <c r="C241" i="10" s="1"/>
  <c r="J85" i="1"/>
  <c r="L85" i="1" s="1"/>
  <c r="AA192" i="1"/>
  <c r="H63" i="9"/>
  <c r="F22" i="9"/>
  <c r="AA50" i="1"/>
  <c r="F39" i="1"/>
  <c r="O11" i="9"/>
  <c r="AB59" i="1"/>
  <c r="G39" i="1"/>
  <c r="I33" i="1"/>
  <c r="K33" i="1" s="1"/>
  <c r="O66" i="1"/>
  <c r="Q66" i="1" s="1"/>
  <c r="S66" i="1" s="1"/>
  <c r="U66" i="1" s="1"/>
  <c r="W66" i="1" s="1"/>
  <c r="Y66" i="1" s="1"/>
  <c r="K66" i="1"/>
  <c r="E102" i="1"/>
  <c r="E58" i="1"/>
  <c r="R173" i="1"/>
  <c r="T173" i="1" s="1"/>
  <c r="V173" i="1" s="1"/>
  <c r="X173" i="1" s="1"/>
  <c r="Z173" i="1" s="1"/>
  <c r="L22" i="9"/>
  <c r="O183" i="9"/>
  <c r="AB167" i="1"/>
  <c r="AB100" i="1"/>
  <c r="K210" i="1"/>
  <c r="S210" i="1" s="1"/>
  <c r="C102" i="1"/>
  <c r="O111" i="9"/>
  <c r="O146" i="9"/>
  <c r="O50" i="10"/>
  <c r="O166" i="10"/>
  <c r="C233" i="10" s="1"/>
  <c r="U17" i="1"/>
  <c r="W17" i="1" s="1"/>
  <c r="Y17" i="1" s="1"/>
  <c r="U38" i="1"/>
  <c r="W38" i="1" s="1"/>
  <c r="Y38" i="1" s="1"/>
  <c r="I68" i="10"/>
  <c r="L58" i="10"/>
  <c r="H105" i="10"/>
  <c r="L91" i="1"/>
  <c r="N91" i="1" s="1"/>
  <c r="P91" i="1" s="1"/>
  <c r="R91" i="1" s="1"/>
  <c r="T91" i="1" s="1"/>
  <c r="V91" i="1" s="1"/>
  <c r="X91" i="1" s="1"/>
  <c r="Z91" i="1" s="1"/>
  <c r="H52" i="1"/>
  <c r="J48" i="1"/>
  <c r="G23" i="1"/>
  <c r="Q13" i="1"/>
  <c r="S13" i="1" s="1"/>
  <c r="U13" i="1" s="1"/>
  <c r="W13" i="1" s="1"/>
  <c r="Y13" i="1" s="1"/>
  <c r="V54" i="1"/>
  <c r="S32" i="1"/>
  <c r="Z170" i="1"/>
  <c r="AA6" i="1"/>
  <c r="M4" i="1"/>
  <c r="AA4" i="1" s="1"/>
  <c r="J59" i="9"/>
  <c r="I63" i="9"/>
  <c r="L95" i="1"/>
  <c r="N95" i="1" s="1"/>
  <c r="P95" i="1" s="1"/>
  <c r="R95" i="1" s="1"/>
  <c r="G27" i="1"/>
  <c r="I27" i="1" s="1"/>
  <c r="K27" i="1" s="1"/>
  <c r="M27" i="1" s="1"/>
  <c r="O27" i="1" s="1"/>
  <c r="Q27" i="1" s="1"/>
  <c r="S27" i="1" s="1"/>
  <c r="U27" i="1" s="1"/>
  <c r="W27" i="1" s="1"/>
  <c r="Y27" i="1" s="1"/>
  <c r="M34" i="1"/>
  <c r="O34" i="1" s="1"/>
  <c r="Q34" i="1" s="1"/>
  <c r="S34" i="1" s="1"/>
  <c r="U34" i="1" s="1"/>
  <c r="W34" i="1" s="1"/>
  <c r="Y34" i="1" s="1"/>
  <c r="I69" i="9"/>
  <c r="J69" i="9" s="1"/>
  <c r="L172" i="1"/>
  <c r="J192" i="1"/>
  <c r="G107" i="9"/>
  <c r="E12" i="1"/>
  <c r="G12" i="1" s="1"/>
  <c r="I12" i="1" s="1"/>
  <c r="K12" i="1" s="1"/>
  <c r="M12" i="1" s="1"/>
  <c r="O12" i="1" s="1"/>
  <c r="Q12" i="1" s="1"/>
  <c r="S12" i="1" s="1"/>
  <c r="U12" i="1" s="1"/>
  <c r="W12" i="1" s="1"/>
  <c r="Y12" i="1" s="1"/>
  <c r="C21" i="1"/>
  <c r="I5" i="1"/>
  <c r="E10" i="1"/>
  <c r="G15" i="1"/>
  <c r="I15" i="1" s="1"/>
  <c r="K15" i="1" s="1"/>
  <c r="M15" i="1" s="1"/>
  <c r="O15" i="1" s="1"/>
  <c r="Q15" i="1" s="1"/>
  <c r="S15" i="1" s="1"/>
  <c r="U15" i="1" s="1"/>
  <c r="W15" i="1" s="1"/>
  <c r="Y15" i="1" s="1"/>
  <c r="S86" i="1"/>
  <c r="U86" i="1" s="1"/>
  <c r="W86" i="1" s="1"/>
  <c r="Y86" i="1" s="1"/>
  <c r="O24" i="1"/>
  <c r="Q24" i="1" s="1"/>
  <c r="S24" i="1" s="1"/>
  <c r="U24" i="1" s="1"/>
  <c r="W24" i="1" s="1"/>
  <c r="Y24" i="1" s="1"/>
  <c r="AB21" i="1"/>
  <c r="AB30" i="1"/>
  <c r="AB103" i="1"/>
  <c r="AB129" i="1" s="1"/>
  <c r="AB136" i="1" s="1"/>
  <c r="AB143" i="1" s="1"/>
  <c r="AB160" i="1" s="1"/>
  <c r="AB168" i="1" s="1"/>
  <c r="AB79" i="1"/>
  <c r="Z55" i="1"/>
  <c r="AB55" i="1" s="1"/>
  <c r="H60" i="1"/>
  <c r="AB71" i="1"/>
  <c r="AB73" i="1"/>
  <c r="E9" i="1"/>
  <c r="G69" i="10"/>
  <c r="H69" i="10" s="1"/>
  <c r="I69" i="10" s="1"/>
  <c r="J69" i="10" s="1"/>
  <c r="K69" i="10" s="1"/>
  <c r="L69" i="10" s="1"/>
  <c r="M69" i="10" s="1"/>
  <c r="N69" i="10" s="1"/>
  <c r="G85" i="1"/>
  <c r="F83" i="10"/>
  <c r="E39" i="1"/>
  <c r="AA37" i="1"/>
  <c r="O59" i="1"/>
  <c r="AA59" i="1" s="1"/>
  <c r="AA14" i="1"/>
  <c r="J72" i="1"/>
  <c r="L72" i="1" s="1"/>
  <c r="N72" i="1" s="1"/>
  <c r="P72" i="1" s="1"/>
  <c r="R72" i="1" s="1"/>
  <c r="T72" i="1" s="1"/>
  <c r="V72" i="1" s="1"/>
  <c r="X72" i="1" s="1"/>
  <c r="Z72" i="1" s="1"/>
  <c r="AA19" i="1"/>
  <c r="K20" i="1"/>
  <c r="M20" i="1" s="1"/>
  <c r="O20" i="1" s="1"/>
  <c r="Q20" i="1" s="1"/>
  <c r="S20" i="1" s="1"/>
  <c r="U20" i="1" s="1"/>
  <c r="W20" i="1" s="1"/>
  <c r="Y20" i="1" s="1"/>
  <c r="G8" i="1"/>
  <c r="I8" i="1" s="1"/>
  <c r="K8" i="1" s="1"/>
  <c r="M8" i="1" s="1"/>
  <c r="O8" i="1" s="1"/>
  <c r="Q8" i="1" s="1"/>
  <c r="S8" i="1" s="1"/>
  <c r="U8" i="1" s="1"/>
  <c r="W8" i="1" s="1"/>
  <c r="Y8" i="1" s="1"/>
  <c r="G88" i="1"/>
  <c r="I88" i="1" s="1"/>
  <c r="K88" i="1" s="1"/>
  <c r="M88" i="1" s="1"/>
  <c r="O88" i="1" s="1"/>
  <c r="Q88" i="1" s="1"/>
  <c r="S88" i="1" s="1"/>
  <c r="U88" i="1" s="1"/>
  <c r="W88" i="1" s="1"/>
  <c r="Y88" i="1" s="1"/>
  <c r="G89" i="1"/>
  <c r="I89" i="1" s="1"/>
  <c r="K89" i="1" s="1"/>
  <c r="M89" i="1" s="1"/>
  <c r="O89" i="1" s="1"/>
  <c r="Q89" i="1" s="1"/>
  <c r="S89" i="1" s="1"/>
  <c r="U89" i="1" s="1"/>
  <c r="W89" i="1" s="1"/>
  <c r="Y89" i="1" s="1"/>
  <c r="Q87" i="1"/>
  <c r="S87" i="1" s="1"/>
  <c r="U87" i="1" s="1"/>
  <c r="W87" i="1" s="1"/>
  <c r="Y87" i="1" s="1"/>
  <c r="K36" i="1"/>
  <c r="M36" i="1" s="1"/>
  <c r="O36" i="1" s="1"/>
  <c r="Q36" i="1" s="1"/>
  <c r="S36" i="1" s="1"/>
  <c r="U36" i="1" s="1"/>
  <c r="W36" i="1" s="1"/>
  <c r="Y36" i="1" s="1"/>
  <c r="M91" i="1"/>
  <c r="O91" i="1" s="1"/>
  <c r="Q91" i="1" s="1"/>
  <c r="S91" i="1" s="1"/>
  <c r="U91" i="1" s="1"/>
  <c r="W91" i="1" s="1"/>
  <c r="Y91" i="1" s="1"/>
  <c r="AA26" i="1"/>
  <c r="E28" i="1"/>
  <c r="G28" i="1" s="1"/>
  <c r="I28" i="1" s="1"/>
  <c r="K28" i="1" s="1"/>
  <c r="M28" i="1" s="1"/>
  <c r="O28" i="1" s="1"/>
  <c r="Q28" i="1" s="1"/>
  <c r="S28" i="1" s="1"/>
  <c r="U28" i="1" s="1"/>
  <c r="W28" i="1" s="1"/>
  <c r="Y28" i="1" s="1"/>
  <c r="AA29" i="1"/>
  <c r="E42" i="1"/>
  <c r="G41" i="1"/>
  <c r="F66" i="1"/>
  <c r="H66" i="1" s="1"/>
  <c r="J66" i="1" s="1"/>
  <c r="L66" i="1" s="1"/>
  <c r="N47" i="1"/>
  <c r="AB50" i="1"/>
  <c r="D52" i="1"/>
  <c r="D196" i="1" s="1"/>
  <c r="T171" i="1"/>
  <c r="J109" i="10"/>
  <c r="O109" i="10"/>
  <c r="H13" i="9"/>
  <c r="H22" i="9" s="1"/>
  <c r="O10" i="9"/>
  <c r="D75" i="9"/>
  <c r="C89" i="9"/>
  <c r="L82" i="9"/>
  <c r="M82" i="9" s="1"/>
  <c r="N82" i="9" s="1"/>
  <c r="C30" i="1"/>
  <c r="AA142" i="1"/>
  <c r="L209" i="9"/>
  <c r="M197" i="9"/>
  <c r="O119" i="9"/>
  <c r="O147" i="9" s="1"/>
  <c r="O158" i="9" s="1"/>
  <c r="O165" i="9" s="1"/>
  <c r="O186" i="9" s="1"/>
  <c r="O195" i="9" s="1"/>
  <c r="O90" i="9"/>
  <c r="E58" i="9"/>
  <c r="D63" i="9"/>
  <c r="G13" i="10"/>
  <c r="I13" i="10"/>
  <c r="I22" i="10" s="1"/>
  <c r="G22" i="9"/>
  <c r="M13" i="9"/>
  <c r="M22" i="9" s="1"/>
  <c r="O190" i="9"/>
  <c r="O194" i="9" s="1"/>
  <c r="C239" i="9" s="1"/>
  <c r="J13" i="10"/>
  <c r="J22" i="10" s="1"/>
  <c r="O41" i="10"/>
  <c r="O185" i="10"/>
  <c r="N170" i="10"/>
  <c r="K181" i="9"/>
  <c r="G181" i="10"/>
  <c r="G158" i="1"/>
  <c r="I184" i="9"/>
  <c r="AA149" i="1"/>
  <c r="M145" i="1"/>
  <c r="M183" i="10"/>
  <c r="L181" i="10"/>
  <c r="F186" i="10"/>
  <c r="J168" i="9"/>
  <c r="C154" i="1"/>
  <c r="AA60" i="1"/>
  <c r="AA35" i="1"/>
  <c r="AA90" i="1"/>
  <c r="F118" i="9" l="1"/>
  <c r="AA66" i="1"/>
  <c r="AA24" i="1"/>
  <c r="AA20" i="1"/>
  <c r="AA81" i="1"/>
  <c r="E52" i="1"/>
  <c r="O105" i="9"/>
  <c r="AA15" i="1"/>
  <c r="AA72" i="1"/>
  <c r="C215" i="10"/>
  <c r="C219" i="10" s="1"/>
  <c r="C213" i="9"/>
  <c r="C215" i="9" s="1"/>
  <c r="AA36" i="1"/>
  <c r="O80" i="9"/>
  <c r="I39" i="1"/>
  <c r="AA64" i="1"/>
  <c r="J102" i="1"/>
  <c r="AA13" i="1"/>
  <c r="E75" i="10"/>
  <c r="D91" i="10"/>
  <c r="H63" i="10"/>
  <c r="I59" i="10"/>
  <c r="AA12" i="1"/>
  <c r="AA27" i="1"/>
  <c r="O69" i="10"/>
  <c r="AB95" i="1"/>
  <c r="AB173" i="1"/>
  <c r="AB93" i="1"/>
  <c r="C238" i="10"/>
  <c r="O13" i="10"/>
  <c r="O22" i="10" s="1"/>
  <c r="AA25" i="1"/>
  <c r="E120" i="10"/>
  <c r="F107" i="10"/>
  <c r="L211" i="10"/>
  <c r="M199" i="10"/>
  <c r="AA45" i="1"/>
  <c r="O82" i="9"/>
  <c r="AA91" i="1"/>
  <c r="AA8" i="1"/>
  <c r="F78" i="1"/>
  <c r="F196" i="1" s="1"/>
  <c r="E78" i="1"/>
  <c r="I58" i="1"/>
  <c r="G58" i="1"/>
  <c r="G78" i="1" s="1"/>
  <c r="L118" i="9"/>
  <c r="M103" i="9"/>
  <c r="AB66" i="1"/>
  <c r="O82" i="10"/>
  <c r="M209" i="9"/>
  <c r="N197" i="9"/>
  <c r="N209" i="9" s="1"/>
  <c r="E75" i="9"/>
  <c r="D89" i="9"/>
  <c r="V171" i="1"/>
  <c r="G42" i="1"/>
  <c r="I41" i="1"/>
  <c r="G83" i="10"/>
  <c r="G9" i="1"/>
  <c r="I9" i="1" s="1"/>
  <c r="K9" i="1" s="1"/>
  <c r="M9" i="1" s="1"/>
  <c r="O9" i="1" s="1"/>
  <c r="Q9" i="1" s="1"/>
  <c r="S9" i="1" s="1"/>
  <c r="U9" i="1" s="1"/>
  <c r="W9" i="1" s="1"/>
  <c r="Y9" i="1" s="1"/>
  <c r="G10" i="1"/>
  <c r="I10" i="1" s="1"/>
  <c r="K10" i="1" s="1"/>
  <c r="M10" i="1" s="1"/>
  <c r="O10" i="1" s="1"/>
  <c r="Q10" i="1" s="1"/>
  <c r="S10" i="1" s="1"/>
  <c r="U10" i="1" s="1"/>
  <c r="W10" i="1" s="1"/>
  <c r="Y10" i="1" s="1"/>
  <c r="K5" i="1"/>
  <c r="H107" i="9"/>
  <c r="G118" i="9"/>
  <c r="N172" i="1"/>
  <c r="L192" i="1"/>
  <c r="K69" i="9"/>
  <c r="J89" i="9"/>
  <c r="L102" i="1"/>
  <c r="N85" i="1"/>
  <c r="R78" i="1"/>
  <c r="U32" i="1"/>
  <c r="N68" i="9"/>
  <c r="O68" i="9" s="1"/>
  <c r="E30" i="1"/>
  <c r="I105" i="10"/>
  <c r="M58" i="10"/>
  <c r="T78" i="1"/>
  <c r="G22" i="10"/>
  <c r="E63" i="9"/>
  <c r="O58" i="9"/>
  <c r="C241" i="9"/>
  <c r="O13" i="9"/>
  <c r="O22" i="9" s="1"/>
  <c r="P47" i="1"/>
  <c r="L78" i="1"/>
  <c r="AA28" i="1"/>
  <c r="AA87" i="1"/>
  <c r="AA89" i="1"/>
  <c r="AA88" i="1"/>
  <c r="E21" i="1"/>
  <c r="AB72" i="1"/>
  <c r="O83" i="10"/>
  <c r="G102" i="1"/>
  <c r="I85" i="1"/>
  <c r="N78" i="1"/>
  <c r="J60" i="1"/>
  <c r="J78" i="1" s="1"/>
  <c r="H78" i="1"/>
  <c r="H196" i="1" s="1"/>
  <c r="AA86" i="1"/>
  <c r="M33" i="1"/>
  <c r="K39" i="1"/>
  <c r="I51" i="1"/>
  <c r="AA34" i="1"/>
  <c r="J63" i="9"/>
  <c r="K59" i="9"/>
  <c r="AB170" i="1"/>
  <c r="H91" i="10"/>
  <c r="P78" i="1"/>
  <c r="I89" i="9"/>
  <c r="V78" i="1"/>
  <c r="X54" i="1"/>
  <c r="I23" i="1"/>
  <c r="G30" i="1"/>
  <c r="L48" i="1"/>
  <c r="J52" i="1"/>
  <c r="AB91" i="1"/>
  <c r="J68" i="10"/>
  <c r="I91" i="10"/>
  <c r="AA38" i="1"/>
  <c r="AA17" i="1"/>
  <c r="N181" i="9"/>
  <c r="Y158" i="1"/>
  <c r="N186" i="10"/>
  <c r="N179" i="9"/>
  <c r="Y145" i="1"/>
  <c r="N184" i="9"/>
  <c r="N168" i="9"/>
  <c r="N181" i="10"/>
  <c r="Y156" i="1"/>
  <c r="Y154" i="1"/>
  <c r="N183" i="10"/>
  <c r="K184" i="9"/>
  <c r="S156" i="1"/>
  <c r="S145" i="1"/>
  <c r="K179" i="9"/>
  <c r="K183" i="10"/>
  <c r="G181" i="9"/>
  <c r="K186" i="10"/>
  <c r="G183" i="10"/>
  <c r="S154" i="1"/>
  <c r="S158" i="1"/>
  <c r="K158" i="1"/>
  <c r="K145" i="1"/>
  <c r="K168" i="9"/>
  <c r="G168" i="9"/>
  <c r="G170" i="10"/>
  <c r="K170" i="10"/>
  <c r="K156" i="1"/>
  <c r="G184" i="9"/>
  <c r="K154" i="1"/>
  <c r="G186" i="10"/>
  <c r="K181" i="10"/>
  <c r="G179" i="9"/>
  <c r="G145" i="1"/>
  <c r="G154" i="1"/>
  <c r="G156" i="1"/>
  <c r="I183" i="10"/>
  <c r="O154" i="1"/>
  <c r="O145" i="1"/>
  <c r="I179" i="9"/>
  <c r="O158" i="1"/>
  <c r="I168" i="9"/>
  <c r="O156" i="1"/>
  <c r="I181" i="10"/>
  <c r="I181" i="9"/>
  <c r="I170" i="10"/>
  <c r="M158" i="1"/>
  <c r="I186" i="10"/>
  <c r="W145" i="1"/>
  <c r="M181" i="9"/>
  <c r="J181" i="9"/>
  <c r="J179" i="9"/>
  <c r="U158" i="1"/>
  <c r="L186" i="10"/>
  <c r="U156" i="1"/>
  <c r="J170" i="10"/>
  <c r="L184" i="9"/>
  <c r="M168" i="9"/>
  <c r="I156" i="1"/>
  <c r="L168" i="9"/>
  <c r="F181" i="10"/>
  <c r="F183" i="10"/>
  <c r="L181" i="9"/>
  <c r="C145" i="1"/>
  <c r="C236" i="9"/>
  <c r="C156" i="1"/>
  <c r="C158" i="1"/>
  <c r="H170" i="10"/>
  <c r="M156" i="1"/>
  <c r="H181" i="9"/>
  <c r="M154" i="1"/>
  <c r="H186" i="10"/>
  <c r="H179" i="9"/>
  <c r="H183" i="10"/>
  <c r="Q158" i="1"/>
  <c r="Q145" i="1"/>
  <c r="H181" i="10"/>
  <c r="H184" i="9"/>
  <c r="H168" i="9"/>
  <c r="L170" i="10"/>
  <c r="L183" i="10"/>
  <c r="L179" i="9"/>
  <c r="U154" i="1"/>
  <c r="U145" i="1"/>
  <c r="M184" i="9"/>
  <c r="M186" i="10"/>
  <c r="M170" i="10"/>
  <c r="W154" i="1"/>
  <c r="M181" i="10"/>
  <c r="W158" i="1"/>
  <c r="W156" i="1"/>
  <c r="M179" i="9"/>
  <c r="F184" i="9"/>
  <c r="F168" i="9"/>
  <c r="F179" i="9"/>
  <c r="F181" i="9"/>
  <c r="I145" i="1"/>
  <c r="I154" i="1"/>
  <c r="I158" i="1"/>
  <c r="F170" i="10"/>
  <c r="J181" i="10"/>
  <c r="Q154" i="1"/>
  <c r="J183" i="10"/>
  <c r="J186" i="10"/>
  <c r="Q156" i="1"/>
  <c r="J184" i="9"/>
  <c r="C229" i="10"/>
  <c r="E158" i="1"/>
  <c r="D181" i="10"/>
  <c r="E156" i="1"/>
  <c r="E145" i="1"/>
  <c r="D179" i="9"/>
  <c r="E154" i="1"/>
  <c r="O197" i="9" l="1"/>
  <c r="O209" i="9" s="1"/>
  <c r="C230" i="9" s="1"/>
  <c r="C217" i="9"/>
  <c r="C217" i="10"/>
  <c r="G21" i="1"/>
  <c r="I63" i="10"/>
  <c r="J59" i="10"/>
  <c r="F75" i="10"/>
  <c r="E91" i="10"/>
  <c r="E215" i="10" s="1"/>
  <c r="M118" i="9"/>
  <c r="N103" i="9"/>
  <c r="G107" i="10"/>
  <c r="F120" i="10"/>
  <c r="M211" i="10"/>
  <c r="N199" i="10"/>
  <c r="N211" i="10" s="1"/>
  <c r="AB60" i="1"/>
  <c r="M58" i="1"/>
  <c r="M78" i="1" s="1"/>
  <c r="S58" i="1"/>
  <c r="S78" i="1" s="1"/>
  <c r="U58" i="1"/>
  <c r="U78" i="1" s="1"/>
  <c r="W58" i="1"/>
  <c r="W78" i="1" s="1"/>
  <c r="Q58" i="1"/>
  <c r="Q78" i="1" s="1"/>
  <c r="K58" i="1"/>
  <c r="O58" i="1"/>
  <c r="O78" i="1" s="1"/>
  <c r="Y58" i="1"/>
  <c r="Y78" i="1" s="1"/>
  <c r="I78" i="1"/>
  <c r="J91" i="10"/>
  <c r="K68" i="10"/>
  <c r="N48" i="1"/>
  <c r="L52" i="1"/>
  <c r="L196" i="1" s="1"/>
  <c r="I30" i="1"/>
  <c r="K23" i="1"/>
  <c r="X78" i="1"/>
  <c r="Z54" i="1"/>
  <c r="Z78" i="1" s="1"/>
  <c r="L59" i="9"/>
  <c r="K63" i="9"/>
  <c r="K51" i="1"/>
  <c r="I52" i="1"/>
  <c r="O33" i="1"/>
  <c r="M39" i="1"/>
  <c r="R47" i="1"/>
  <c r="N58" i="10"/>
  <c r="W32" i="1"/>
  <c r="N102" i="1"/>
  <c r="P85" i="1"/>
  <c r="L69" i="9"/>
  <c r="K89" i="9"/>
  <c r="P172" i="1"/>
  <c r="N192" i="1"/>
  <c r="I107" i="9"/>
  <c r="H118" i="9"/>
  <c r="M5" i="1"/>
  <c r="K21" i="1"/>
  <c r="K41" i="1"/>
  <c r="I42" i="1"/>
  <c r="J196" i="1"/>
  <c r="I102" i="1"/>
  <c r="K85" i="1"/>
  <c r="J105" i="10"/>
  <c r="I120" i="10"/>
  <c r="I21" i="1"/>
  <c r="AA10" i="1"/>
  <c r="AA9" i="1"/>
  <c r="X171" i="1"/>
  <c r="F75" i="9"/>
  <c r="E89" i="9"/>
  <c r="E213" i="9" s="1"/>
  <c r="K185" i="9"/>
  <c r="N187" i="10"/>
  <c r="N185" i="9"/>
  <c r="G185" i="9"/>
  <c r="Y159" i="1"/>
  <c r="G159" i="1"/>
  <c r="K187" i="10"/>
  <c r="G187" i="10"/>
  <c r="K159" i="1"/>
  <c r="S159" i="1"/>
  <c r="O159" i="1"/>
  <c r="F187" i="10"/>
  <c r="J185" i="9"/>
  <c r="I185" i="9"/>
  <c r="I187" i="10"/>
  <c r="U159" i="1"/>
  <c r="O181" i="9"/>
  <c r="C240" i="9" s="1"/>
  <c r="L185" i="9"/>
  <c r="O168" i="9"/>
  <c r="H185" i="9"/>
  <c r="M159" i="1"/>
  <c r="M185" i="9"/>
  <c r="O183" i="10"/>
  <c r="C242" i="10" s="1"/>
  <c r="M187" i="10"/>
  <c r="L187" i="10"/>
  <c r="I159" i="1"/>
  <c r="C159" i="1"/>
  <c r="C196" i="1" s="1"/>
  <c r="C202" i="1" s="1"/>
  <c r="O186" i="10"/>
  <c r="W159" i="1"/>
  <c r="AA158" i="1"/>
  <c r="Q159" i="1"/>
  <c r="O184" i="9"/>
  <c r="AA156" i="1"/>
  <c r="H187" i="10"/>
  <c r="J187" i="10"/>
  <c r="AA154" i="1"/>
  <c r="O170" i="10"/>
  <c r="F185" i="9"/>
  <c r="C227" i="9"/>
  <c r="E159" i="1"/>
  <c r="E196" i="1" s="1"/>
  <c r="AA145" i="1"/>
  <c r="D187" i="10"/>
  <c r="D215" i="10" s="1"/>
  <c r="O181" i="10"/>
  <c r="D185" i="9"/>
  <c r="D213" i="9" s="1"/>
  <c r="O179" i="9"/>
  <c r="AB54" i="1" l="1"/>
  <c r="O199" i="10"/>
  <c r="O211" i="10" s="1"/>
  <c r="C232" i="10" s="1"/>
  <c r="K213" i="9"/>
  <c r="K215" i="9" s="1"/>
  <c r="G196" i="1"/>
  <c r="G202" i="1" s="1"/>
  <c r="AB78" i="1"/>
  <c r="H213" i="9"/>
  <c r="H215" i="9" s="1"/>
  <c r="E219" i="10"/>
  <c r="E217" i="10"/>
  <c r="G75" i="10"/>
  <c r="F91" i="10"/>
  <c r="F215" i="10" s="1"/>
  <c r="J63" i="10"/>
  <c r="K59" i="10"/>
  <c r="H107" i="10"/>
  <c r="H120" i="10" s="1"/>
  <c r="H215" i="10" s="1"/>
  <c r="H219" i="10" s="1"/>
  <c r="G120" i="10"/>
  <c r="K78" i="1"/>
  <c r="AA58" i="1"/>
  <c r="AA78" i="1" s="1"/>
  <c r="N118" i="9"/>
  <c r="O103" i="9"/>
  <c r="I215" i="10"/>
  <c r="I219" i="10" s="1"/>
  <c r="O107" i="10"/>
  <c r="E217" i="9"/>
  <c r="E215" i="9"/>
  <c r="R172" i="1"/>
  <c r="P192" i="1"/>
  <c r="M69" i="9"/>
  <c r="L89" i="9"/>
  <c r="Y32" i="1"/>
  <c r="M23" i="1"/>
  <c r="K30" i="1"/>
  <c r="P48" i="1"/>
  <c r="N52" i="1"/>
  <c r="N196" i="1" s="1"/>
  <c r="K91" i="10"/>
  <c r="L68" i="10"/>
  <c r="I196" i="1"/>
  <c r="I198" i="1" s="1"/>
  <c r="G75" i="9"/>
  <c r="F89" i="9"/>
  <c r="F213" i="9" s="1"/>
  <c r="Z171" i="1"/>
  <c r="AB171" i="1" s="1"/>
  <c r="J120" i="10"/>
  <c r="K105" i="10"/>
  <c r="K102" i="1"/>
  <c r="M85" i="1"/>
  <c r="K42" i="1"/>
  <c r="M41" i="1"/>
  <c r="O5" i="1"/>
  <c r="M21" i="1"/>
  <c r="I118" i="9"/>
  <c r="I213" i="9" s="1"/>
  <c r="J107" i="9"/>
  <c r="J118" i="9" s="1"/>
  <c r="J213" i="9" s="1"/>
  <c r="R85" i="1"/>
  <c r="P102" i="1"/>
  <c r="O58" i="10"/>
  <c r="T47" i="1"/>
  <c r="Q33" i="1"/>
  <c r="O39" i="1"/>
  <c r="K52" i="1"/>
  <c r="M51" i="1"/>
  <c r="M59" i="9"/>
  <c r="L63" i="9"/>
  <c r="K217" i="9"/>
  <c r="H217" i="9"/>
  <c r="C198" i="1"/>
  <c r="O185" i="9"/>
  <c r="C200" i="1"/>
  <c r="O187" i="10"/>
  <c r="AA159" i="1"/>
  <c r="D217" i="9"/>
  <c r="D215" i="9"/>
  <c r="D219" i="10"/>
  <c r="D217" i="10"/>
  <c r="E198" i="1"/>
  <c r="E202" i="1"/>
  <c r="E200" i="1"/>
  <c r="G198" i="1" l="1"/>
  <c r="L213" i="9"/>
  <c r="L215" i="9" s="1"/>
  <c r="G200" i="1"/>
  <c r="O107" i="9"/>
  <c r="F217" i="10"/>
  <c r="F219" i="10"/>
  <c r="O118" i="9"/>
  <c r="J215" i="10"/>
  <c r="J219" i="10" s="1"/>
  <c r="O75" i="10"/>
  <c r="G91" i="10"/>
  <c r="G215" i="10" s="1"/>
  <c r="G219" i="10" s="1"/>
  <c r="K63" i="10"/>
  <c r="L59" i="10"/>
  <c r="I217" i="10"/>
  <c r="H217" i="10"/>
  <c r="K196" i="1"/>
  <c r="K198" i="1" s="1"/>
  <c r="I200" i="1"/>
  <c r="I202" i="1"/>
  <c r="I217" i="9"/>
  <c r="I215" i="9"/>
  <c r="J217" i="9"/>
  <c r="J215" i="9"/>
  <c r="F215" i="9"/>
  <c r="F217" i="9"/>
  <c r="M63" i="9"/>
  <c r="N59" i="9"/>
  <c r="N63" i="9" s="1"/>
  <c r="S33" i="1"/>
  <c r="Q39" i="1"/>
  <c r="M42" i="1"/>
  <c r="O41" i="1"/>
  <c r="O85" i="1"/>
  <c r="M102" i="1"/>
  <c r="K120" i="10"/>
  <c r="L105" i="10"/>
  <c r="G89" i="9"/>
  <c r="G213" i="9" s="1"/>
  <c r="O75" i="9"/>
  <c r="L91" i="10"/>
  <c r="M68" i="10"/>
  <c r="L217" i="9"/>
  <c r="O51" i="1"/>
  <c r="M52" i="1"/>
  <c r="V47" i="1"/>
  <c r="T85" i="1"/>
  <c r="R102" i="1"/>
  <c r="Q5" i="1"/>
  <c r="O21" i="1"/>
  <c r="R48" i="1"/>
  <c r="P52" i="1"/>
  <c r="P196" i="1" s="1"/>
  <c r="O23" i="1"/>
  <c r="M30" i="1"/>
  <c r="AA32" i="1"/>
  <c r="N69" i="9"/>
  <c r="M89" i="9"/>
  <c r="T172" i="1"/>
  <c r="R192" i="1"/>
  <c r="J217" i="10" l="1"/>
  <c r="M196" i="1"/>
  <c r="M200" i="1" s="1"/>
  <c r="K215" i="10"/>
  <c r="K219" i="10" s="1"/>
  <c r="L63" i="10"/>
  <c r="M59" i="10"/>
  <c r="G217" i="10"/>
  <c r="K202" i="1"/>
  <c r="K200" i="1"/>
  <c r="V172" i="1"/>
  <c r="T192" i="1"/>
  <c r="N89" i="9"/>
  <c r="N213" i="9" s="1"/>
  <c r="O69" i="9"/>
  <c r="O89" i="9" s="1"/>
  <c r="S5" i="1"/>
  <c r="Q21" i="1"/>
  <c r="Q51" i="1"/>
  <c r="O52" i="1"/>
  <c r="G215" i="9"/>
  <c r="G217" i="9"/>
  <c r="M105" i="10"/>
  <c r="L120" i="10"/>
  <c r="L215" i="10" s="1"/>
  <c r="U33" i="1"/>
  <c r="S39" i="1"/>
  <c r="Q23" i="1"/>
  <c r="O30" i="1"/>
  <c r="T48" i="1"/>
  <c r="R52" i="1"/>
  <c r="R196" i="1" s="1"/>
  <c r="T102" i="1"/>
  <c r="V85" i="1"/>
  <c r="X47" i="1"/>
  <c r="N68" i="10"/>
  <c r="M91" i="10"/>
  <c r="K217" i="10"/>
  <c r="Q85" i="1"/>
  <c r="O102" i="1"/>
  <c r="O42" i="1"/>
  <c r="Q41" i="1"/>
  <c r="O59" i="9"/>
  <c r="O63" i="9" s="1"/>
  <c r="M213" i="9"/>
  <c r="M198" i="1" l="1"/>
  <c r="M202" i="1"/>
  <c r="M63" i="10"/>
  <c r="N59" i="10"/>
  <c r="O213" i="9"/>
  <c r="C237" i="9" s="1"/>
  <c r="C238" i="9" s="1"/>
  <c r="C243" i="9" s="1"/>
  <c r="O196" i="1"/>
  <c r="O198" i="1" s="1"/>
  <c r="L217" i="10"/>
  <c r="L219" i="10"/>
  <c r="M217" i="9"/>
  <c r="M215" i="9"/>
  <c r="Q42" i="1"/>
  <c r="S41" i="1"/>
  <c r="N91" i="10"/>
  <c r="O68" i="10"/>
  <c r="O91" i="10" s="1"/>
  <c r="V102" i="1"/>
  <c r="X85" i="1"/>
  <c r="S23" i="1"/>
  <c r="Q30" i="1"/>
  <c r="N215" i="9"/>
  <c r="N217" i="9"/>
  <c r="W33" i="1"/>
  <c r="U39" i="1"/>
  <c r="N105" i="10"/>
  <c r="M120" i="10"/>
  <c r="M215" i="10" s="1"/>
  <c r="S51" i="1"/>
  <c r="Q52" i="1"/>
  <c r="X172" i="1"/>
  <c r="V192" i="1"/>
  <c r="Q102" i="1"/>
  <c r="S85" i="1"/>
  <c r="Z47" i="1"/>
  <c r="V48" i="1"/>
  <c r="T52" i="1"/>
  <c r="T196" i="1" s="1"/>
  <c r="U5" i="1"/>
  <c r="S21" i="1"/>
  <c r="N63" i="10" l="1"/>
  <c r="O59" i="10"/>
  <c r="O63" i="10" s="1"/>
  <c r="O200" i="1"/>
  <c r="C228" i="9"/>
  <c r="C229" i="9" s="1"/>
  <c r="C233" i="9" s="1"/>
  <c r="O217" i="9"/>
  <c r="O202" i="1"/>
  <c r="Q196" i="1"/>
  <c r="Q198" i="1" s="1"/>
  <c r="O215" i="9"/>
  <c r="X48" i="1"/>
  <c r="V52" i="1"/>
  <c r="V196" i="1" s="1"/>
  <c r="AB47" i="1"/>
  <c r="S102" i="1"/>
  <c r="U85" i="1"/>
  <c r="Z172" i="1"/>
  <c r="X192" i="1"/>
  <c r="U51" i="1"/>
  <c r="S52" i="1"/>
  <c r="N120" i="10"/>
  <c r="O105" i="10"/>
  <c r="O120" i="10" s="1"/>
  <c r="W5" i="1"/>
  <c r="U21" i="1"/>
  <c r="M217" i="10"/>
  <c r="M219" i="10"/>
  <c r="Y33" i="1"/>
  <c r="W39" i="1"/>
  <c r="U23" i="1"/>
  <c r="S30" i="1"/>
  <c r="X102" i="1"/>
  <c r="Z85" i="1"/>
  <c r="O215" i="10"/>
  <c r="U41" i="1"/>
  <c r="S42" i="1"/>
  <c r="N215" i="10" l="1"/>
  <c r="N217" i="10" s="1"/>
  <c r="O217" i="10" s="1"/>
  <c r="S196" i="1"/>
  <c r="Q200" i="1"/>
  <c r="Q202" i="1"/>
  <c r="S200" i="1"/>
  <c r="S202" i="1"/>
  <c r="S198" i="1"/>
  <c r="C230" i="10"/>
  <c r="C231" i="10" s="1"/>
  <c r="C235" i="10" s="1"/>
  <c r="C239" i="10"/>
  <c r="C240" i="10" s="1"/>
  <c r="C245" i="10" s="1"/>
  <c r="W51" i="1"/>
  <c r="U52" i="1"/>
  <c r="Z192" i="1"/>
  <c r="AB172" i="1"/>
  <c r="AB192" i="1" s="1"/>
  <c r="W41" i="1"/>
  <c r="U42" i="1"/>
  <c r="Z102" i="1"/>
  <c r="AB85" i="1"/>
  <c r="AB102" i="1" s="1"/>
  <c r="W23" i="1"/>
  <c r="U30" i="1"/>
  <c r="Y39" i="1"/>
  <c r="AA33" i="1"/>
  <c r="AA39" i="1" s="1"/>
  <c r="Y5" i="1"/>
  <c r="W21" i="1"/>
  <c r="W85" i="1"/>
  <c r="U102" i="1"/>
  <c r="Z48" i="1"/>
  <c r="X52" i="1"/>
  <c r="X196" i="1" s="1"/>
  <c r="N219" i="10" l="1"/>
  <c r="O219" i="10" s="1"/>
  <c r="U196" i="1"/>
  <c r="U202" i="1" s="1"/>
  <c r="AB48" i="1"/>
  <c r="AB52" i="1" s="1"/>
  <c r="AB196" i="1" s="1"/>
  <c r="Z52" i="1"/>
  <c r="Z196" i="1" s="1"/>
  <c r="W42" i="1"/>
  <c r="Y41" i="1"/>
  <c r="Y85" i="1"/>
  <c r="Y102" i="1" s="1"/>
  <c r="W102" i="1"/>
  <c r="Y21" i="1"/>
  <c r="AA5" i="1"/>
  <c r="AA21" i="1" s="1"/>
  <c r="W30" i="1"/>
  <c r="Y23" i="1"/>
  <c r="Y30" i="1" s="1"/>
  <c r="Y51" i="1"/>
  <c r="W52" i="1"/>
  <c r="U200" i="1" l="1"/>
  <c r="U198" i="1"/>
  <c r="AA85" i="1"/>
  <c r="AA102" i="1" s="1"/>
  <c r="W196" i="1"/>
  <c r="W202" i="1" s="1"/>
  <c r="Y52" i="1"/>
  <c r="AA51" i="1"/>
  <c r="AA52" i="1" s="1"/>
  <c r="AA23" i="1"/>
  <c r="AA30" i="1" s="1"/>
  <c r="Y42" i="1"/>
  <c r="AA41" i="1"/>
  <c r="AA42" i="1" s="1"/>
  <c r="AA196" i="1" l="1"/>
  <c r="AA200" i="1" s="1"/>
  <c r="W198" i="1"/>
  <c r="W200" i="1"/>
  <c r="Y196" i="1"/>
  <c r="Y198" i="1" s="1"/>
  <c r="AA198" i="1" l="1"/>
  <c r="AA202" i="1"/>
  <c r="Y200" i="1"/>
  <c r="Y202" i="1"/>
  <c r="C31" i="22"/>
  <c r="B3" i="23" l="1"/>
  <c r="F3" i="23" s="1"/>
  <c r="O31" i="22"/>
  <c r="C36" i="22"/>
  <c r="D324" i="11"/>
  <c r="O36" i="22"/>
  <c r="O38" i="22" s="1"/>
  <c r="C38" i="22" l="1"/>
  <c r="D315" i="11"/>
  <c r="D320" i="11" s="1"/>
  <c r="E320" i="11"/>
  <c r="T319" i="11"/>
  <c r="T315" i="11"/>
  <c r="U72" i="11" l="1"/>
  <c r="U58" i="11"/>
  <c r="U41" i="11"/>
  <c r="U36" i="11"/>
  <c r="U229" i="11"/>
  <c r="U213" i="11"/>
  <c r="U92" i="11"/>
  <c r="U76" i="11"/>
  <c r="U125" i="11"/>
  <c r="U172" i="11"/>
  <c r="U302" i="11"/>
  <c r="U148" i="11"/>
  <c r="U184" i="11"/>
  <c r="T317" i="11"/>
  <c r="T320" i="11" s="1"/>
  <c r="J324" i="11" s="1"/>
  <c r="B15" i="23" l="1"/>
  <c r="T304" i="11"/>
  <c r="T305" i="11" s="1"/>
  <c r="U305" i="11" s="1"/>
  <c r="F15" i="23" l="1"/>
  <c r="P305" i="11"/>
  <c r="P306" i="11" l="1"/>
  <c r="B4" i="23" s="1"/>
  <c r="T306" i="11"/>
  <c r="U306" i="11" s="1"/>
  <c r="D338" i="11"/>
  <c r="B16" i="23" l="1"/>
  <c r="B17" i="23" s="1"/>
  <c r="B25" i="23" s="1"/>
  <c r="F17" i="23"/>
  <c r="F25" i="23" s="1"/>
  <c r="B5" i="23"/>
  <c r="B11" i="23" s="1"/>
  <c r="F4" i="23"/>
  <c r="F16" i="23"/>
  <c r="T338" i="11"/>
  <c r="D339" i="11"/>
  <c r="D325" i="11"/>
  <c r="D326" i="11" s="1"/>
  <c r="D332" i="11" s="1"/>
  <c r="J325" i="11"/>
  <c r="J326" i="11" s="1"/>
  <c r="J334" i="11" s="1"/>
  <c r="F5" i="23" l="1"/>
  <c r="F11" i="23" s="1"/>
  <c r="T339" i="11"/>
  <c r="D340" i="11"/>
  <c r="T34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Alexandre Silva Filho</author>
  </authors>
  <commentList>
    <comment ref="C3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Reajuste previsto de 17,78% pela ANEEL.
</t>
        </r>
      </text>
    </comment>
    <comment ref="W4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15/2016, 28de novembro de 2016, valido até 28/11/2017.</t>
        </r>
      </text>
    </comment>
    <comment ref="Y4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E46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NOQ-7362</t>
        </r>
      </text>
    </comment>
    <comment ref="G46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OAC-7053</t>
        </r>
      </text>
    </comment>
    <comment ref="M46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OAC-7053/ OAC-7136/ OAC-7146/ OAC-7176</t>
        </r>
      </text>
    </comment>
    <comment ref="S46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Placa OAC-7116</t>
        </r>
      </text>
    </comment>
    <comment ref="G47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N.001/2012, 10 de abril de 2012, 4 Termo Aditivo com validade até 31/03/2017.</t>
        </r>
      </text>
    </comment>
    <comment ref="I47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G58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N.005/2015, 20 de março de 2015, com o 2 termo aditivo valido até 19/03/2017</t>
        </r>
      </text>
    </comment>
    <comment ref="H58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I58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J58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L58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N58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P58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R58" authorId="0" shapeId="0" xr:uid="{00000000-0006-0000-0000-000011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T58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V58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X58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Z58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N.005/2015, 20 de março de 2015, com o 4 termo aditivo valido até 19/03/2017</t>
        </r>
      </text>
    </comment>
    <comment ref="O59" authorId="0" shapeId="0" xr:uid="{00000000-0006-0000-0000-000016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DO CONTRATO N.009/2013, 22 de julho de 2013, com o 2 Termo Aditivo valido até 20 de julho de 2016</t>
        </r>
      </text>
    </comment>
    <comment ref="Q59" authorId="0" shapeId="0" xr:uid="{00000000-0006-0000-0000-000017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  <comment ref="K60" authorId="0" shapeId="0" xr:uid="{00000000-0006-0000-0000-000018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L60" authorId="0" shapeId="0" xr:uid="{00000000-0006-0000-0000-000019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M60" authorId="0" shapeId="0" xr:uid="{00000000-0006-0000-0000-00001A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N60" authorId="0" shapeId="0" xr:uid="{00000000-0006-0000-0000-00001B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O60" authorId="0" shapeId="0" xr:uid="{00000000-0006-0000-0000-00001C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P60" authorId="0" shapeId="0" xr:uid="{00000000-0006-0000-0000-00001D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Q60" authorId="0" shapeId="0" xr:uid="{00000000-0006-0000-0000-00001E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R60" authorId="0" shapeId="0" xr:uid="{00000000-0006-0000-0000-00001F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S60" authorId="0" shapeId="0" xr:uid="{00000000-0006-0000-0000-000020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T60" authorId="0" shapeId="0" xr:uid="{00000000-0006-0000-0000-000021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V60" authorId="0" shapeId="0" xr:uid="{00000000-0006-0000-0000-000022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X60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Z60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N.007/2016 com a validade até 17 de maio de 2016.</t>
        </r>
      </text>
    </comment>
    <comment ref="Y63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N.017/2014 valido até 16 de dezembro de 2017.</t>
        </r>
      </text>
    </comment>
    <comment ref="G6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N.004/2014, 24 de março de 2014, com o 2 termo aditivo valido até 29 de março de 2017.
</t>
        </r>
      </text>
    </comment>
    <comment ref="I64" authorId="0" shapeId="0" xr:uid="{00000000-0006-0000-0000-000027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K66" authorId="0" shapeId="0" xr:uid="{00000000-0006-0000-0000-000028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DO CONTRATO N.005/2013, 10 de maio de 2013, 4 Termo Aditivo, com validade até 9 de maio de 2017.</t>
        </r>
      </text>
    </comment>
    <comment ref="M66" authorId="0" shapeId="0" xr:uid="{00000000-0006-0000-0000-000029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C70" authorId="0" shapeId="0" xr:uid="{00000000-0006-0000-0000-00002A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E7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G70" authorId="0" shapeId="0" xr:uid="{00000000-0006-0000-0000-00002C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I70" authorId="0" shapeId="0" xr:uid="{00000000-0006-0000-0000-00002D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K70" authorId="0" shapeId="0" xr:uid="{00000000-0006-0000-0000-00002E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M70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O70" authorId="0" shapeId="0" xr:uid="{00000000-0006-0000-0000-000030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Q70" authorId="0" shapeId="0" xr:uid="{00000000-0006-0000-0000-000031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S70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U70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W70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Y70" authorId="0" shapeId="0" xr:uid="{00000000-0006-0000-0000-000035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N.011/2013, 23 de setembro de 2013, 3 Termo Aditivo valido até 22/09/2017
</t>
        </r>
      </text>
    </comment>
    <comment ref="S72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N.008/2015, 14 de setembro de 2015, valido  até 13 de setembro de 2017.</t>
        </r>
      </text>
    </comment>
    <comment ref="U72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C81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Desconto obtido no valor de R$ 2.880,00.
</t>
        </r>
      </text>
    </comment>
    <comment ref="O81" authorId="0" shapeId="0" xr:uid="{00000000-0006-0000-0000-000039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CONTRATO N.11/2014, 24 de julho de 2014, 2 Termo Aditivo, com validade até 22/07/2017.</t>
        </r>
      </text>
    </comment>
    <comment ref="Q81" authorId="0" shapeId="0" xr:uid="{00000000-0006-0000-0000-00003A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  <comment ref="C85" authorId="0" shapeId="0" xr:uid="{00000000-0006-0000-0000-00003B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N.001/2015, 07 de janeiro 2015, 3 termo aditivo com validade até 4 de janeiro de 2017.
</t>
        </r>
      </text>
    </comment>
    <comment ref="E85" authorId="0" shapeId="0" xr:uid="{00000000-0006-0000-0000-00003C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  <comment ref="O86" authorId="0" shapeId="0" xr:uid="{00000000-0006-0000-0000-00003D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N.014/2016, 01 de agosto de 2016, com validade até 31 de julho de 2017.</t>
        </r>
      </text>
    </comment>
    <comment ref="Q86" authorId="0" shapeId="0" xr:uid="{00000000-0006-0000-0000-00003E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I87" authorId="0" shapeId="0" xr:uid="{00000000-0006-0000-0000-00003F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DO CONTRATO N.005/2016, 18 de abril de 2016, valido até 17/04/2017.
</t>
        </r>
      </text>
    </comment>
    <comment ref="K87" authorId="0" shapeId="0" xr:uid="{00000000-0006-0000-0000-000040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Y91" authorId="0" shapeId="0" xr:uid="{00000000-0006-0000-0000-000041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N.019/2016, 27 de dezembro  de 2016, valido até 26 /12/2016.</t>
        </r>
      </text>
    </comment>
    <comment ref="G93" authorId="0" shapeId="0" xr:uid="{00000000-0006-0000-0000-000042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N.013/2014, 01 de setembro de 2014, 2 Termo Aditivo com validade até 01/03/2017.</t>
        </r>
      </text>
    </comment>
    <comment ref="I93" authorId="0" shapeId="0" xr:uid="{00000000-0006-0000-0000-000043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</t>
        </r>
      </text>
    </comment>
    <comment ref="O100" authorId="0" shapeId="0" xr:uid="{00000000-0006-0000-0000-000044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TERMO DE CONTRATO N.008/2013, 16 de julho de 2013. 4 Termo Aditivo, com validade até 14 de julho de 2017.</t>
        </r>
      </text>
    </comment>
    <comment ref="Q100" authorId="0" shapeId="0" xr:uid="{00000000-0006-0000-0000-000045000000}">
      <text>
        <r>
          <rPr>
            <b/>
            <sz val="9"/>
            <color indexed="81"/>
            <rFont val="Segoe UI"/>
            <family val="2"/>
          </rPr>
          <t>Pedro Alexandre Silva Filho:</t>
        </r>
        <r>
          <rPr>
            <sz val="9"/>
            <color indexed="81"/>
            <rFont val="Segoe UI"/>
            <family val="2"/>
          </rPr>
          <t xml:space="preserve">
Estimado 7% de correção na renovação.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tc={3CFFF14C-1345-429F-BAF9-F9A524E6E352}</author>
    <author>tc={8A3F38E8-72C3-465B-8D37-E3EA5AF5D83D}</author>
    <author>tc={B053D7D3-620A-4EB7-8A4A-5DC9C2E8F2A4}</author>
  </authors>
  <commentList>
    <comment ref="B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(Parametrização de Gerador, Termografia, Dimensionamento de Aterramentos Elétricos, Dimensionamento e Instalação de Banco de Capacitores, Elaboração de Laudos, para Instalações Elétricas, Eletricista de Montagem, Operação e Manutenção de Cabine Primária, Eletricista Montador de Painéis Elétricos Industriais, Manutenção e Ensaios de Transformadores, Manutenção Preventiva e Corretiva de Disjuntores de Média Tensão, Montagem de Cabine Primária, Montagem de Cabine Primária, Montagem de Painéis Elétricos, Operação e Manutenção de Cabine Primária, Operação e Manutenção de Grupo Motorgerador a Diesel, Projeto de Painéis de Comandos Elétricos, Proteção em Sistemas Elétricos de Potência, Proteção, Parametrização e Ensaios de Relé de Proteção,Reparador de Motores de Corrente Alternada em Baixa Tensão)</t>
      </text>
    </comment>
    <comment ref="D217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R$ 6.345,782,95/3/12=176.271,75</t>
      </text>
    </comment>
    <comment ref="D223" authorId="2" shapeId="0" xr:uid="{00000000-0006-0000-02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Média de não recebimento dos últimos 8 anos</t>
      </text>
    </comment>
  </commentList>
</comments>
</file>

<file path=xl/sharedStrings.xml><?xml version="1.0" encoding="utf-8"?>
<sst xmlns="http://schemas.openxmlformats.org/spreadsheetml/2006/main" count="2827" uniqueCount="1066">
  <si>
    <t>PRODAM - PLANEJAMENTO CONTÁBIL/FINANCEIRO - 2018</t>
  </si>
  <si>
    <t>2 - DESPESAS</t>
  </si>
  <si>
    <t>2.1 - PESSOAL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</si>
  <si>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</si>
  <si>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</si>
  <si>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</si>
  <si>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</si>
  <si>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</si>
  <si>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</si>
  <si>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</si>
  <si>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</si>
  <si>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</si>
  <si>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</si>
  <si>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</si>
  <si>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</si>
  <si>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2017</t>
  </si>
  <si>
    <t>TOTAL 2018</t>
  </si>
  <si>
    <t>Abono de férias</t>
  </si>
  <si>
    <t>ATS</t>
  </si>
  <si>
    <t>Benefícios</t>
  </si>
  <si>
    <t>Comdasp extra Detran</t>
  </si>
  <si>
    <t>Comdasp- Terceirizados (horas) CONT.013/2012</t>
  </si>
  <si>
    <t>LICITAR - VECTO EM 17/03/2018</t>
  </si>
  <si>
    <t>Décimo Provisão/Encargos</t>
  </si>
  <si>
    <t>Encargos</t>
  </si>
  <si>
    <t>Estágio (25 prodam + 10 TRE)</t>
  </si>
  <si>
    <t>Férias Provisão/Encargos</t>
  </si>
  <si>
    <t>Gratificação</t>
  </si>
  <si>
    <t>Honorários</t>
  </si>
  <si>
    <t>Horas Extras-Média</t>
  </si>
  <si>
    <t>Novos Colaboradores (Concurso ? pessoas)</t>
  </si>
  <si>
    <t>Outras Remunerações-Média</t>
  </si>
  <si>
    <t>Pós Graduação</t>
  </si>
  <si>
    <t>Representação</t>
  </si>
  <si>
    <t>Salários</t>
  </si>
  <si>
    <t>TOTAL 2.1 ==&gt;</t>
  </si>
  <si>
    <t>2.2 - TREINAMENTO DE PESSOAL</t>
  </si>
  <si>
    <t>TOTAL</t>
  </si>
  <si>
    <t>Diárias Evento</t>
  </si>
  <si>
    <t>Diárias Serviço</t>
  </si>
  <si>
    <t>Diárias Treinamento</t>
  </si>
  <si>
    <t>Inscrição</t>
  </si>
  <si>
    <t>Passagens  Evento</t>
  </si>
  <si>
    <t>Passagens Serviço</t>
  </si>
  <si>
    <t>Passagens Treinamento</t>
  </si>
  <si>
    <t>TOTAL 2.2 ==&gt;</t>
  </si>
  <si>
    <t>2.3 - UTILIDADES E SERVIÇOS</t>
  </si>
  <si>
    <t>ABEP/ACA  - Associação Mensalidade</t>
  </si>
  <si>
    <t>Manaus Ambiental- Média</t>
  </si>
  <si>
    <t>Manaus Energia-Média</t>
  </si>
  <si>
    <t>Publicações Assinaturas-Média</t>
  </si>
  <si>
    <t>Rádio Táxi - Média 2017 + 10,1454% - CT - 007/13</t>
  </si>
  <si>
    <t>LICITAR VECTO 11/07/2018</t>
  </si>
  <si>
    <t>Telefonia Fixa- Média</t>
  </si>
  <si>
    <t>Telefonia/Internet  Móvel- Claro Contrato 02/2016</t>
  </si>
  <si>
    <t>TOTAL 2.3 ==&gt;</t>
  </si>
  <si>
    <t>2.4 MATERIAL DE LIMPEZA/EXPEDIENTE</t>
  </si>
  <si>
    <t>Materiais</t>
  </si>
  <si>
    <t>TOTAL 2.4 ==&gt;</t>
  </si>
  <si>
    <t>2.5- CONTRATOS DE MANUTENÇÃO</t>
  </si>
  <si>
    <t>Eaton Contrato 015/2016</t>
  </si>
  <si>
    <t>Aumento 2% apartir de 11/17</t>
  </si>
  <si>
    <t xml:space="preserve">Gasolina + Diesel (Posto 3000 - 007/17) </t>
  </si>
  <si>
    <t>IPVA/Seguros</t>
  </si>
  <si>
    <t>RTA - Manutenção Nobreak Contrato  006/2017</t>
  </si>
  <si>
    <t>Aumento 2% apartir de 31/03/2018</t>
  </si>
  <si>
    <t>Schneider - Contrato 018/2016</t>
  </si>
  <si>
    <t>Sem aumento - IGPM Negativo</t>
  </si>
  <si>
    <t>Seguro- Predial - Maruaga Apólice 1800221522-9</t>
  </si>
  <si>
    <t>R$ 15.751,17 + 20% + 15%</t>
  </si>
  <si>
    <t>STEMAC - Grupo Gerador - Contrato 001/2017</t>
  </si>
  <si>
    <t>Veículos-Média</t>
  </si>
  <si>
    <t>TOTAL 2.5 ==&gt;</t>
  </si>
  <si>
    <t>2.6 - CONTRATOS ÁREA TÉCNICA</t>
  </si>
  <si>
    <t>Alpheus- Contrato 016/2012</t>
  </si>
  <si>
    <t>LICITAR VECTO 15/12/2017</t>
  </si>
  <si>
    <t>CA-Programas-de-Computador.- Contrato 02/2017</t>
  </si>
  <si>
    <r>
      <t>12</t>
    </r>
    <r>
      <rPr>
        <sz val="10"/>
        <color rgb="FF0070C0"/>
        <rFont val="Calibri"/>
        <family val="2"/>
      </rPr>
      <t>ª</t>
    </r>
    <r>
      <rPr>
        <sz val="9"/>
        <color rgb="FF0070C0"/>
        <rFont val="Arial"/>
        <family val="2"/>
      </rPr>
      <t xml:space="preserve"> a 23ª parcela</t>
    </r>
  </si>
  <si>
    <t>CA-Programas-de-Computador.- Contrato 12/2016</t>
  </si>
  <si>
    <t>Mensal + Demanda</t>
  </si>
  <si>
    <t>Claro - Contrato 002/2016</t>
  </si>
  <si>
    <t>Aumento 2% apartir de 04/18</t>
  </si>
  <si>
    <t>Claro - Contrato 005/2015 - Fornecimento Links.pdf</t>
  </si>
  <si>
    <t>Aumento 2% apartir de 03/18</t>
  </si>
  <si>
    <t>Envelopadora- Laurenti - Contrato 009/13</t>
  </si>
  <si>
    <t>LICITAR VECTO 20/07/18</t>
  </si>
  <si>
    <t>Eyes'n'Where- Contrato 007/2016</t>
  </si>
  <si>
    <t>Aumento 2% apartir de 05/18</t>
  </si>
  <si>
    <t>Gasoduto-PSG Contrato 006/13      ???????????</t>
  </si>
  <si>
    <t>IBM - Contratos 015/14 - Licença    ???????</t>
  </si>
  <si>
    <t>Vencimento em 02/11/2017</t>
  </si>
  <si>
    <t>IBM - Contratos 017/14 - Suporte Técnico   ?????</t>
  </si>
  <si>
    <t>Vencimento em 16/12/2017</t>
  </si>
  <si>
    <t>Impressão - ALP Contrato 004/14</t>
  </si>
  <si>
    <t>LanLink Soluções e Comer. em Inform. Ltda - 004/2017</t>
  </si>
  <si>
    <t>Reajuste 2% - Abril-18</t>
  </si>
  <si>
    <t>Lunix - Contrato 005/2013</t>
  </si>
  <si>
    <t>LICITAR - VECTO 09/05/18</t>
  </si>
  <si>
    <t>MAX PR Security (Sonicwall) - Contrato 013/2017</t>
  </si>
  <si>
    <t>Reajuste 2% - 09/08/2018</t>
  </si>
  <si>
    <t>NDC Material de Construção - Contrato 008/2017</t>
  </si>
  <si>
    <t>Reajuste 2% - 18/05/2018</t>
  </si>
  <si>
    <t>Object - banco de dados Oracle- Contrato 004/2015</t>
  </si>
  <si>
    <t>Reajutste 2% - Contr. 004/2015</t>
  </si>
  <si>
    <t>Ômega Construções-Contrato 011/2013- Fibra</t>
  </si>
  <si>
    <t>LICITAR - VECTO 22/09/18</t>
  </si>
  <si>
    <t>Optimus GIS - 004/2016 - Arquitetura GIS</t>
  </si>
  <si>
    <t>Reajuste 2% - 13/04/2018</t>
  </si>
  <si>
    <t>Software AG- Contrato 008/15</t>
  </si>
  <si>
    <t>Periodo contratato 14/09/17 à 14/09/19</t>
  </si>
  <si>
    <t>TrueWays IT Informática Ltda - Contrato 003/2017</t>
  </si>
  <si>
    <t>Reajuste 2% - 08/03/2018</t>
  </si>
  <si>
    <t>Techne - Contrato 005/2012</t>
  </si>
  <si>
    <t>Negociação sem reajuste</t>
  </si>
  <si>
    <t>PREVISÃO COM 2% - PIB 18</t>
  </si>
  <si>
    <t>TOTAL 2.6==&gt;</t>
  </si>
  <si>
    <t>2.7 - CONTRATOS ADMINISTRATIVOS</t>
  </si>
  <si>
    <t>ACTUS - PCMSO - Contrato 017-2016</t>
  </si>
  <si>
    <t>Aumento 2% apartir de 05/12/17</t>
  </si>
  <si>
    <t>Assessoria de Comunicacao- Contrato 011-2014</t>
  </si>
  <si>
    <t>Auditoria independente - 016/2016</t>
  </si>
  <si>
    <t>Conselho de Administração</t>
  </si>
  <si>
    <t>Conselho Fiscal</t>
  </si>
  <si>
    <t>Conservação e Limpeza - Contrato 001-2015-Comdasp</t>
  </si>
  <si>
    <t>ADITAR EM 06/01/2018  IGPM (-) 6%</t>
  </si>
  <si>
    <t>Conservação e Limpeza - Contrato 014-2016-Higilimp</t>
  </si>
  <si>
    <t>Aumento 2% apartir de 31/07/18</t>
  </si>
  <si>
    <t>Contrato AMAZON Copiadora - Contrato n.005/2016</t>
  </si>
  <si>
    <t>Eventuais - P. Física- Média</t>
  </si>
  <si>
    <t>Eventuais - P. Jurídica- Média</t>
  </si>
  <si>
    <t>INPAO - Dental - 003/13 - Assistencia Odontologica</t>
  </si>
  <si>
    <t>LICITAR - VECTO 21/04/18</t>
  </si>
  <si>
    <t>ITACOL - Manut. de Ar Cond.- Contrato 019-2016</t>
  </si>
  <si>
    <t>ADITAR EM 26/12/2017 IGPM (-)</t>
  </si>
  <si>
    <t>LAVAJATO Tapajós- Contrato 002/2016</t>
  </si>
  <si>
    <t>LYRA&amp;GOES - Contencioso Trabalhista - CTR  013-2014</t>
  </si>
  <si>
    <t>LICITAR - VECTO 01/12/17</t>
  </si>
  <si>
    <t>MB Consultoria - Contrato 012/2017</t>
  </si>
  <si>
    <t>ISO 9001</t>
  </si>
  <si>
    <t>MR Maciel -ME - Paroquia - estacionamento 014/2017</t>
  </si>
  <si>
    <t>Aumento 2% - 01/09/2018</t>
  </si>
  <si>
    <t>Plural - Gestão em Plano Saúde - Contrato  015/2017**</t>
  </si>
  <si>
    <t>Aumento INPC - 2%  SET/18</t>
  </si>
  <si>
    <t>Poliponto - Contrato 11-2015 - Manut. Catraca</t>
  </si>
  <si>
    <t>Programa de Aprendizagem</t>
  </si>
  <si>
    <t>Pagto salário mínimo - JAN-18 - média pagtos</t>
  </si>
  <si>
    <t>Segurança Patrimonial-Contrato 009-2015-FortVIP</t>
  </si>
  <si>
    <t>Em Licitação - pode mudar valor</t>
  </si>
  <si>
    <t>TOTVS - Contrato 010/2017</t>
  </si>
  <si>
    <t>Aditar em 16/07/2018 - IGPM 2% estimado</t>
  </si>
  <si>
    <t xml:space="preserve">PREVISÃO COM 17,65% </t>
  </si>
  <si>
    <t>TOTAL 2.7 ==&gt;</t>
  </si>
  <si>
    <t>2.8- DESPESAS COM EVENTOS</t>
  </si>
  <si>
    <t>Ação com colaboradores Afastados</t>
  </si>
  <si>
    <t>Ações mensais de Comunicação</t>
  </si>
  <si>
    <t>Ágile Day PRODAM</t>
  </si>
  <si>
    <t>Aniversário da PRODAM</t>
  </si>
  <si>
    <t>Beneficios Sociais - kits, coroas</t>
  </si>
  <si>
    <t>Campanha de Prev. Aids</t>
  </si>
  <si>
    <t>Campanha de Vacinação Gripe</t>
  </si>
  <si>
    <t>Confraternização Natalina</t>
  </si>
  <si>
    <t>Confraternização-Ticket extra</t>
  </si>
  <si>
    <t>Coquetéis</t>
  </si>
  <si>
    <t>Dia das mães</t>
  </si>
  <si>
    <t>Dia dos pais</t>
  </si>
  <si>
    <t>Dia Internacional das Mulheres</t>
  </si>
  <si>
    <t>Hackathon (Externa)</t>
  </si>
  <si>
    <t>Hackathon (Interna)</t>
  </si>
  <si>
    <t>Integração</t>
  </si>
  <si>
    <t>Novembro Azul</t>
  </si>
  <si>
    <t xml:space="preserve">Outras Despesas </t>
  </si>
  <si>
    <t>Outubro Rosa</t>
  </si>
  <si>
    <t>Semana da Qualidade e Segur.</t>
  </si>
  <si>
    <t>SIPAT</t>
  </si>
  <si>
    <t>Visistas Técnicas</t>
  </si>
  <si>
    <t>Workshop com clientes</t>
  </si>
  <si>
    <t>Workshop com fornecedores</t>
  </si>
  <si>
    <t>TOTAL 2.8 ==&gt;</t>
  </si>
  <si>
    <t>2.9 - PROJETOS ESPECIAIS</t>
  </si>
  <si>
    <t>TOTAL 2.9 ==&gt;</t>
  </si>
  <si>
    <t>2.10 - DIVIDAS EXERCÍCICIO ANTERIOR</t>
  </si>
  <si>
    <t>Contrato CA Anexo 1- 9ucds on site e 15 remoto</t>
  </si>
  <si>
    <t>IBM - Contratos 015/14 e 017/14</t>
  </si>
  <si>
    <t>TOTAL 2.10 ==&gt;</t>
  </si>
  <si>
    <t>2.11 - TRIBUTOS/DESPESAS FINANCEIRAS</t>
  </si>
  <si>
    <t>ALVARÁ</t>
  </si>
  <si>
    <t>COFINS</t>
  </si>
  <si>
    <t>Contribuição Patronal</t>
  </si>
  <si>
    <t>CSLL</t>
  </si>
  <si>
    <t>Despesas Financeiras</t>
  </si>
  <si>
    <t>FUMIPEQ</t>
  </si>
  <si>
    <t>FUNTEL</t>
  </si>
  <si>
    <t>FUST</t>
  </si>
  <si>
    <t>ICMS DIF DE ALÍQUOTA</t>
  </si>
  <si>
    <t>Imposto de Renda</t>
  </si>
  <si>
    <t>INSS sobre Receita Bruta</t>
  </si>
  <si>
    <t>IPTU</t>
  </si>
  <si>
    <t>ISS</t>
  </si>
  <si>
    <t>Outros Tributos (celular, taxas)</t>
  </si>
  <si>
    <t>PASEP</t>
  </si>
  <si>
    <t>TOTAL 2.11 ==&gt;</t>
  </si>
  <si>
    <t>2.12. DESPESAS CONTÁBEIS</t>
  </si>
  <si>
    <t>Amortizações</t>
  </si>
  <si>
    <t>Cancelamentos e Devoluções - Faturas</t>
  </si>
  <si>
    <t>Contingências Trabalhistas</t>
  </si>
  <si>
    <t>Depreciações</t>
  </si>
  <si>
    <t>Perda Estimada com Créditos Duvidosos</t>
  </si>
  <si>
    <t>Perda por impossibilidade de cobranças</t>
  </si>
  <si>
    <t>TOTAL 2.12 ==&gt;</t>
  </si>
  <si>
    <t>2.13 - INVESTIMENTOS</t>
  </si>
  <si>
    <t>LOA 2016 - Disponível</t>
  </si>
  <si>
    <t>Solução de Segurança da Informação (Firewall e IPS + Contexto de FW)</t>
  </si>
  <si>
    <t>Solução de Backup (Prodam e Clientes)</t>
  </si>
  <si>
    <t>Solução de Virtualização (Servidor + Storage + Hypervisor)</t>
  </si>
  <si>
    <t>Moving de Equipamentos no Datacenter</t>
  </si>
  <si>
    <t>Solução de Antivírus - PRODAM</t>
  </si>
  <si>
    <t>TOTAL 2.13 ==&gt;</t>
  </si>
  <si>
    <t>2.14 - RESERVA DE CONTIGÊNCIA</t>
  </si>
  <si>
    <t>Reserva "a ser utilizada"</t>
  </si>
  <si>
    <t>TOTAL GERAL DESPESAS/INVESTIMENTOS</t>
  </si>
  <si>
    <t>RESULTADO CONTÁBIL</t>
  </si>
  <si>
    <t>RESULTADO FINANCEIRO</t>
  </si>
  <si>
    <t>RESERVA DE CONTINGÊNCIA ==&gt;</t>
  </si>
  <si>
    <t>RECEBIMENTOS FINANCEIROS</t>
  </si>
  <si>
    <t>TOTAIS</t>
  </si>
  <si>
    <t>CLIENTES</t>
  </si>
  <si>
    <t>CONVÊNIOS</t>
  </si>
  <si>
    <t>TOTAL RECEBIDO</t>
  </si>
  <si>
    <t>BAIXADO APLICAÇÃO LÍQUIDO</t>
  </si>
  <si>
    <t>Exercícios anteriores-Faturamento</t>
  </si>
  <si>
    <t>Ano de 2016- Faturamento</t>
  </si>
  <si>
    <t>OBSERVAÇÕES</t>
  </si>
  <si>
    <t>Salários: Considerado o oreal de janeiro, em fevereiro 7.937,65 previsão retorno Glauco</t>
  </si>
  <si>
    <t>Horas Extras - janeiro real</t>
  </si>
  <si>
    <t>ATS - acréscido 1% sobre os novos colaboradores que ingressaram em 2016 (R$ 366,06)</t>
  </si>
  <si>
    <t>Outras remunerações: ( Ad. Noturno, disponibilidades, insalubridade, periculosidade e aux. Doênça</t>
  </si>
  <si>
    <t>ESTIMAR DISSÍDIO</t>
  </si>
  <si>
    <t>Após os terminos dos contratos, foi estimado um percentual de 7% de correção na renovação.</t>
  </si>
  <si>
    <t>TECHNE-&gt; CONTRATO NÃO PODENDO SER RENOVADO- COMPLETADO 60 MESES EM JULHO</t>
  </si>
  <si>
    <t>COMDASP - HORAS - NÃO PODENDO SER RENOVADO - COMPLETADO 60 MESES EM SETEMBRO</t>
  </si>
  <si>
    <t>LOCAÇÃO DO ESTACIONAMENTO NÃO PODENDO SER RENOVADO - COMPLETADO 60 MESES EM JUNHO</t>
  </si>
  <si>
    <t>RTA - NÃO PODENDO MAIS SER RENOVADO - COMPLETADO 60 MESES EM 31/03/2017</t>
  </si>
  <si>
    <t>ALPHEUS NÃO PODENDO SER RENOVADO, COMPLETA 60 MESES EM DEZEMBRO</t>
  </si>
  <si>
    <t>APROPRIAR SUBSTITUTO DA ALLEN</t>
  </si>
  <si>
    <t>CA PROGRAMAS DE COMPUTADORES E SERVIÇOS LTDA - CONTRATO FIXO E O ANEXO-?</t>
  </si>
  <si>
    <t>LUCA - MONITORAMENTO DE MÍDIA, VENCE EM SETEMBRO NÃO PODENDO SER PRORROGADO - VALOR ANUAL DE r$ 77.302,00</t>
  </si>
  <si>
    <t>** PLURAL - de JAN - ABR/17 FOI AMIL - DE MAI - OUT/17 - PLURAL - NOV-DEZ/17 - ESTIMADO PELO NOVO</t>
  </si>
  <si>
    <t>PLANEJAMENTO CONTÁBIL/FINANCEIRO - 2023</t>
  </si>
  <si>
    <t>RECEITAS</t>
  </si>
  <si>
    <t>1.1</t>
  </si>
  <si>
    <t>RECEITAS DE SERVIÇOS</t>
  </si>
  <si>
    <t>Janeiro Previsto</t>
  </si>
  <si>
    <t>Fevereiro Previsto</t>
  </si>
  <si>
    <t>Março Previsto</t>
  </si>
  <si>
    <t>Abril Previsto</t>
  </si>
  <si>
    <t>Maio Previsto</t>
  </si>
  <si>
    <t>Junho Previsto</t>
  </si>
  <si>
    <t>Julho Previsto</t>
  </si>
  <si>
    <t>Agosto Previsto</t>
  </si>
  <si>
    <t>Setembro Previsto</t>
  </si>
  <si>
    <t>Outubro Previsto</t>
  </si>
  <si>
    <t>Novembro Previsto</t>
  </si>
  <si>
    <t>Dezembro Previsto</t>
  </si>
  <si>
    <t>1.1.1</t>
  </si>
  <si>
    <t>ADMINISTRAÇÃO DIRETA</t>
  </si>
  <si>
    <t>1.1.2</t>
  </si>
  <si>
    <t>ADMINISTRAÇÃO INDIRETA</t>
  </si>
  <si>
    <t>1.1.3</t>
  </si>
  <si>
    <t>OUTROS CLIENTES</t>
  </si>
  <si>
    <t>1.1.4</t>
  </si>
  <si>
    <t>1.1.5</t>
  </si>
  <si>
    <t>TOTAL 1.1 ==&gt;</t>
  </si>
  <si>
    <t>1.2</t>
  </si>
  <si>
    <t>CONVÊNIOS DE PESSOAL</t>
  </si>
  <si>
    <t>1.2.1</t>
  </si>
  <si>
    <t>Convênios</t>
  </si>
  <si>
    <t>TOTAL 1.2 ==&gt;</t>
  </si>
  <si>
    <t>1.3</t>
  </si>
  <si>
    <t>RECEITAS FINANCEIRAS</t>
  </si>
  <si>
    <t>1.3.1</t>
  </si>
  <si>
    <t>Sobre aplicação financeira</t>
  </si>
  <si>
    <t>1.3.2</t>
  </si>
  <si>
    <t>Outras Receitas Financeiras</t>
  </si>
  <si>
    <t>TOTAL 1.3 ==&gt;</t>
  </si>
  <si>
    <t>1.4</t>
  </si>
  <si>
    <t>RECEITAS NOVOS PROJETOS</t>
  </si>
  <si>
    <t>1.4.2</t>
  </si>
  <si>
    <t>Conectividade no interior e capital (SEJUSC)</t>
  </si>
  <si>
    <t>1.4.3</t>
  </si>
  <si>
    <t>Contas Office</t>
  </si>
  <si>
    <t>1.4.4</t>
  </si>
  <si>
    <t>Serviço de segurança da informação (Firewall, Antivírus e cybersegurança)</t>
  </si>
  <si>
    <t>1.4.5</t>
  </si>
  <si>
    <t xml:space="preserve">Hardware como serviço (Sefaz, </t>
  </si>
  <si>
    <t>1.4.6</t>
  </si>
  <si>
    <t>Serviço de consultoria em LGPD e DPO como serviço (UEA, CADA)</t>
  </si>
  <si>
    <t>1.4.7</t>
  </si>
  <si>
    <t>Infraestrutura como serviço (Ex: Hospedagem) AFEAM CIAMA,PGE</t>
  </si>
  <si>
    <t>1.4.8</t>
  </si>
  <si>
    <t>Ampliação dos serviços de gestão de trânsito municipal</t>
  </si>
  <si>
    <t>1.4.9</t>
  </si>
  <si>
    <t>Licença de uso de sistemas de informação - SSP</t>
  </si>
  <si>
    <t>Software como serviço - SEDUC</t>
  </si>
  <si>
    <t>TOTAL 1.4 ==&gt;</t>
  </si>
  <si>
    <t>1.5</t>
  </si>
  <si>
    <t>OUTRAS RECEITAS</t>
  </si>
  <si>
    <t>1.5.1</t>
  </si>
  <si>
    <t>Receitas Diversas</t>
  </si>
  <si>
    <t>TOTAL 1.5 ==&gt;</t>
  </si>
  <si>
    <t>TOTAL GERAL RECEITAS</t>
  </si>
  <si>
    <t>1.6</t>
  </si>
  <si>
    <t xml:space="preserve">RECEBIMENTOS PREVISTOS   </t>
  </si>
  <si>
    <t>1.6.1</t>
  </si>
  <si>
    <t>Faturamento exercícios anteriores</t>
  </si>
  <si>
    <t>1.6.2</t>
  </si>
  <si>
    <t>Convênios exercícios anteriores</t>
  </si>
  <si>
    <t>1.6.3</t>
  </si>
  <si>
    <t>Recebimento por indenização</t>
  </si>
  <si>
    <t>1.6.4</t>
  </si>
  <si>
    <t>Faturamento exercício corrrente</t>
  </si>
  <si>
    <t>1.6.5</t>
  </si>
  <si>
    <t>Convênio exercício corrente</t>
  </si>
  <si>
    <t>TOTAL FINANCEIRO- RECEBIMENTO</t>
  </si>
  <si>
    <t>1.7</t>
  </si>
  <si>
    <t>DISPONIBILIDADES</t>
  </si>
  <si>
    <t>1.7.1</t>
  </si>
  <si>
    <t>CONTA CORRENTE</t>
  </si>
  <si>
    <t>1.7.2</t>
  </si>
  <si>
    <t>APLICAÇÃO</t>
  </si>
  <si>
    <t>1.7.3</t>
  </si>
  <si>
    <t>DEPÓSITOS EM JUÍZO</t>
  </si>
  <si>
    <t>TOTAL DISPONIBILIDADES</t>
  </si>
  <si>
    <t>DESPESAS</t>
  </si>
  <si>
    <t>2.1</t>
  </si>
  <si>
    <t>PESSOAL</t>
  </si>
  <si>
    <t>CentroCusto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</si>
  <si>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</si>
  <si>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</si>
  <si>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</si>
  <si>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</si>
  <si>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</si>
  <si>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</si>
  <si>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</si>
  <si>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</si>
  <si>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</si>
  <si>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</si>
  <si>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</si>
  <si>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</si>
  <si>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1T</t>
  </si>
  <si>
    <t>2T</t>
  </si>
  <si>
    <t>3T</t>
  </si>
  <si>
    <t>4T</t>
  </si>
  <si>
    <t xml:space="preserve">TOTAL </t>
  </si>
  <si>
    <t>2.1.1</t>
  </si>
  <si>
    <t>Abono de férias - valor estimado médio</t>
  </si>
  <si>
    <t>4001 (Indireto)</t>
  </si>
  <si>
    <t>2.1.2</t>
  </si>
  <si>
    <t>2.1.3</t>
  </si>
  <si>
    <t> </t>
  </si>
  <si>
    <t/>
  </si>
  <si>
    <t>2.1.3.1</t>
  </si>
  <si>
    <t>Assistência Médica</t>
  </si>
  <si>
    <t>2.1.3.2</t>
  </si>
  <si>
    <t>Assistência Odontológica</t>
  </si>
  <si>
    <t>2.1.3.3</t>
  </si>
  <si>
    <t>Auxílio Creche</t>
  </si>
  <si>
    <t>2.1.3.4</t>
  </si>
  <si>
    <t>Seguro de Pessoal</t>
  </si>
  <si>
    <t>2.1.3.5</t>
  </si>
  <si>
    <t>Tíquete Alimentação (Sodexo)</t>
  </si>
  <si>
    <t>2.1.4</t>
  </si>
  <si>
    <t>Décimo Terceiro Pagamento 1a. parcela (13o. Financeiro)</t>
  </si>
  <si>
    <t>2.1.5</t>
  </si>
  <si>
    <t>1/3 férias pagamento</t>
  </si>
  <si>
    <t>2.1.6</t>
  </si>
  <si>
    <t>Encargos de folha de pagamento</t>
  </si>
  <si>
    <t>2.1.7</t>
  </si>
  <si>
    <t xml:space="preserve">Abono natalino </t>
  </si>
  <si>
    <t>Incetivo à pratica de atividades fisicas /bem-estar (proposta)</t>
  </si>
  <si>
    <t>2.1.8</t>
  </si>
  <si>
    <t>Gratificações</t>
  </si>
  <si>
    <t>2.1.8.1</t>
  </si>
  <si>
    <t>Gratificação por função</t>
  </si>
  <si>
    <t>2.1.8.2</t>
  </si>
  <si>
    <t>Gratificação - REP.</t>
  </si>
  <si>
    <t>2.1.8.3</t>
  </si>
  <si>
    <t>Gratificação - Gratificação Incorporada</t>
  </si>
  <si>
    <t>2.1.8.4</t>
  </si>
  <si>
    <t>Gratificação - Comissão de Licitação - COMLI</t>
  </si>
  <si>
    <t>2.1.8.5</t>
  </si>
  <si>
    <t>Adicional Periculosidade - A. ADM.</t>
  </si>
  <si>
    <t>2.1.9</t>
  </si>
  <si>
    <t>Pro Labore</t>
  </si>
  <si>
    <t>2.1.10</t>
  </si>
  <si>
    <t>Horas extras e sobreaviso (1)</t>
  </si>
  <si>
    <t>2.1.10.1</t>
  </si>
  <si>
    <t>Horas Extras-Média - A.TEC.</t>
  </si>
  <si>
    <t>2.1.10.2</t>
  </si>
  <si>
    <t>Horas Extras-Média  - A.ADM.</t>
  </si>
  <si>
    <t>2.1.10.3</t>
  </si>
  <si>
    <t>Horas Extras-Chamado de Emergência - A. Tec.</t>
  </si>
  <si>
    <t>2.1.10.4</t>
  </si>
  <si>
    <t>SOBREAVISO - A.ADM. + A. TÉC.</t>
  </si>
  <si>
    <t>2.1.10.5</t>
  </si>
  <si>
    <t>SOBREAVISO - SEFAZ</t>
  </si>
  <si>
    <t>2.1.11</t>
  </si>
  <si>
    <t>Outras Remunerações-Média (adicional noturno)</t>
  </si>
  <si>
    <t>2.1.12</t>
  </si>
  <si>
    <t>2.1.13</t>
  </si>
  <si>
    <t>Rescisão</t>
  </si>
  <si>
    <t>2.1.14</t>
  </si>
  <si>
    <t>2.1.15</t>
  </si>
  <si>
    <t>Custos oriundos do novo concurso (estimativa)</t>
  </si>
  <si>
    <t>2.2</t>
  </si>
  <si>
    <t>Conselhos (Governança)</t>
  </si>
  <si>
    <t>2.2.1</t>
  </si>
  <si>
    <t>Comitê de Auditoria Estatutário</t>
  </si>
  <si>
    <t>2.2.2</t>
  </si>
  <si>
    <t>2.2.3</t>
  </si>
  <si>
    <t>2.3</t>
  </si>
  <si>
    <t>TREINAMENTO DE PESSOAL</t>
  </si>
  <si>
    <t>2.3.1</t>
  </si>
  <si>
    <t xml:space="preserve">Diárias </t>
  </si>
  <si>
    <t>Diversos</t>
  </si>
  <si>
    <t>2.3.3</t>
  </si>
  <si>
    <t>Passagens (está em contratos administrativos)</t>
  </si>
  <si>
    <t>2.3.4</t>
  </si>
  <si>
    <t>Inscrição em treinamentos, seminários (GERHU E SUPERVISÕES)</t>
  </si>
  <si>
    <t>2.3.5</t>
  </si>
  <si>
    <t>Inscrição em treinamentos, cursos online (GERHU/SPSES)</t>
  </si>
  <si>
    <t>3500 (GERHU)</t>
  </si>
  <si>
    <t>2.3.6</t>
  </si>
  <si>
    <t>Inscrição em treinamentos, cursos online (GERHU/SPDES)</t>
  </si>
  <si>
    <t>2.3.7</t>
  </si>
  <si>
    <t>Inscrição em treinamentos, cursos online (GPROJ)</t>
  </si>
  <si>
    <t>GPROJ</t>
  </si>
  <si>
    <t>2.3.8</t>
  </si>
  <si>
    <t>Inscrição em treinamentos, cursos online (GTCOM)</t>
  </si>
  <si>
    <t>GTCOM</t>
  </si>
  <si>
    <t>2.3.9</t>
  </si>
  <si>
    <t>Inscrição em treinamentos, cursos online (GSIST)</t>
  </si>
  <si>
    <t>GSIST</t>
  </si>
  <si>
    <t>2.3.10</t>
  </si>
  <si>
    <t>Inscrição em treinamentos, cursos online (GINFS)</t>
  </si>
  <si>
    <t>GINFS</t>
  </si>
  <si>
    <t>2.3.11</t>
  </si>
  <si>
    <t>Inscrição em treinamentos, cursos online (GESIQ)</t>
  </si>
  <si>
    <t>GESIQ</t>
  </si>
  <si>
    <t>2.3.12</t>
  </si>
  <si>
    <t xml:space="preserve">Investimento em treinamentos em elétrica </t>
  </si>
  <si>
    <t>2.3.13</t>
  </si>
  <si>
    <t>Inscrição em eventos e Congressos, etc.</t>
  </si>
  <si>
    <t>2.3.14</t>
  </si>
  <si>
    <t>Inscrição em treinamentos,cursos online (GECOM)</t>
  </si>
  <si>
    <t>GECOM</t>
  </si>
  <si>
    <t>2.3.15</t>
  </si>
  <si>
    <t>Inscrição em treinamentos, cursos online (GCONT)</t>
  </si>
  <si>
    <t>GCONT</t>
  </si>
  <si>
    <t>Inscrição em eventos e Congressos, etc.(DPMKT,DVEND,DPCON)</t>
  </si>
  <si>
    <t>2110 (SUPTN)</t>
  </si>
  <si>
    <t>2.4</t>
  </si>
  <si>
    <t>UTILIDADES E SERVIÇOS</t>
  </si>
  <si>
    <t>2.4.1</t>
  </si>
  <si>
    <t>ABEP/ACA - Associação Mensalidade</t>
  </si>
  <si>
    <t>2.4.2</t>
  </si>
  <si>
    <t>Manaus Ambiental</t>
  </si>
  <si>
    <t>2.4.3</t>
  </si>
  <si>
    <t>Manaus Energia</t>
  </si>
  <si>
    <t>2.4.4</t>
  </si>
  <si>
    <t>Publicações Assinaturas (DOE e Outros)</t>
  </si>
  <si>
    <t>2.4.5</t>
  </si>
  <si>
    <t xml:space="preserve">Rádio Táxi </t>
  </si>
  <si>
    <t>2.4.6</t>
  </si>
  <si>
    <t>Telefone fixo</t>
  </si>
  <si>
    <t>2.4.7</t>
  </si>
  <si>
    <t>Telefone móvel PRODAM - CTO 011/2022</t>
  </si>
  <si>
    <t>Estimado mensal em R$ 5679,4</t>
  </si>
  <si>
    <t>2.4.8</t>
  </si>
  <si>
    <t>Manutenção predial (elétrica, hidráulica, telefônica, construção civil, recuperação de portas, janelas, mobiliário etc.)</t>
  </si>
  <si>
    <t>2.4.9</t>
  </si>
  <si>
    <t>Mensalidade  anual ABRH</t>
  </si>
  <si>
    <t>2.4.10</t>
  </si>
  <si>
    <t>Mensalidade ACA</t>
  </si>
  <si>
    <t>3400 (GEAOP)</t>
  </si>
  <si>
    <t>2.4.11</t>
  </si>
  <si>
    <t>Anotações de Responsabilidade Técnica - CREA</t>
  </si>
  <si>
    <t>2.4.12</t>
  </si>
  <si>
    <t>Anualidade CREA</t>
  </si>
  <si>
    <t>2.5</t>
  </si>
  <si>
    <t>ALMOXARIFADO/CONSUMO</t>
  </si>
  <si>
    <t>2.5.1</t>
  </si>
  <si>
    <t>Material de consumo e expediente</t>
  </si>
  <si>
    <t>2.5.2</t>
  </si>
  <si>
    <t>Resmas de papel para a Produção</t>
  </si>
  <si>
    <t>2412  (SPCDP)</t>
  </si>
  <si>
    <t>2.6</t>
  </si>
  <si>
    <t>CONTRATOS DE MANUTENÇÃO</t>
  </si>
  <si>
    <t>2.6.1</t>
  </si>
  <si>
    <t>Combustível (Neofacilidades) - Contrato 019/2024</t>
  </si>
  <si>
    <t>2.6.2</t>
  </si>
  <si>
    <t>IPVA/Seguros Veículos</t>
  </si>
  <si>
    <t>2.6.3</t>
  </si>
  <si>
    <t>Manutenção Ar-Condicionado (IGM2) - Contrato 002/2024</t>
  </si>
  <si>
    <t>2.6.4</t>
  </si>
  <si>
    <t>Schneider - 2 contratos</t>
  </si>
  <si>
    <t>2.6.5</t>
  </si>
  <si>
    <t>Seguro- Predial 2023</t>
  </si>
  <si>
    <t>2.6.6</t>
  </si>
  <si>
    <t>STEMAC - Grupo Gerador - Contrato 005/2022</t>
  </si>
  <si>
    <t>2.6.7</t>
  </si>
  <si>
    <t>Emops - Controle de Pragas - Contrato 003/2024</t>
  </si>
  <si>
    <t>2.6.8</t>
  </si>
  <si>
    <t>2.6.9</t>
  </si>
  <si>
    <t>2.6.10</t>
  </si>
  <si>
    <t>2.6.11</t>
  </si>
  <si>
    <t>2.6.12</t>
  </si>
  <si>
    <t>2.6.13</t>
  </si>
  <si>
    <t>2.6.14</t>
  </si>
  <si>
    <t>TOTAL 2.6 ==&gt;</t>
  </si>
  <si>
    <t>2.7</t>
  </si>
  <si>
    <t>CONTRATOS ÁREA TÉCNICA</t>
  </si>
  <si>
    <t>2.7.1</t>
  </si>
  <si>
    <t>AMAZONCOPY (Datacenter + GEAOP) CT 005/2021</t>
  </si>
  <si>
    <t>4100 (Repasse)</t>
  </si>
  <si>
    <t>2.7.2</t>
  </si>
  <si>
    <t>CLARO S.A - INTERNET - CT 001/2022</t>
  </si>
  <si>
    <t>2.7.3</t>
  </si>
  <si>
    <t>Ozonio - Internet</t>
  </si>
  <si>
    <t>DIAGNEXT.COM COMÉRCIO E PROCESSAMENTO DE DADOS LTDA CT 007/2024 - SOB DEMANDA</t>
  </si>
  <si>
    <t>valor global estimado 2.261.139,84 - Serviços suspensos junto ao cliente</t>
  </si>
  <si>
    <t>2.7.4</t>
  </si>
  <si>
    <t>G DE J TORRES BENIGNOS - CT 006/2023</t>
  </si>
  <si>
    <t>2.7.5</t>
  </si>
  <si>
    <t>GALEGALE &amp; ASSOCIADOS CONSULTORES LTDA - CT 022/2024 (27/11/2024 a 25/02/2025) SOB DEMANDA</t>
  </si>
  <si>
    <t>2.7.6</t>
  </si>
  <si>
    <t xml:space="preserve"> IBM BRASIL- INDUSTRIA MAQUINAS E SERVICOS LIMITADA - CT 023/2023 (27/12/2023 A 26/12/2025)</t>
  </si>
  <si>
    <t>Mensal estimado é de R$ 710.858,91</t>
  </si>
  <si>
    <t>2.7.7</t>
  </si>
  <si>
    <t>ILHA SERVICE TECNOLOGIA E SERVIÇOS LTDA - CT 002/2022</t>
  </si>
  <si>
    <t>Valor Global 13.000.748,46</t>
  </si>
  <si>
    <t>2.7.9</t>
  </si>
  <si>
    <t>Fornecimento de Links (Alfa / NBN Telecom) CT 023/2024 (18/11/2024 a 17/05/2025)</t>
  </si>
  <si>
    <t>2.7.10</t>
  </si>
  <si>
    <t>INNYX (SIGEAM 2.0) CT 008/2022 - SOB DEMANDA</t>
  </si>
  <si>
    <t>VALOR GLOBAL 14.093.000,00</t>
  </si>
  <si>
    <t>2.7.11</t>
  </si>
  <si>
    <t xml:space="preserve">Envelopadora - Laurenti </t>
  </si>
  <si>
    <t>2.7.12</t>
  </si>
  <si>
    <t>KLADANN - Manutenção de Equipamentos (IBM)</t>
  </si>
  <si>
    <t>2.7.13</t>
  </si>
  <si>
    <t>LanLink - Office 365 - Contrato 004/2017</t>
  </si>
  <si>
    <t>2.7.14</t>
  </si>
  <si>
    <t>Sustenta Telecom - Infra DETRAN-AM Shopping P. Negra - AES</t>
  </si>
  <si>
    <t>2.7.15</t>
  </si>
  <si>
    <t>R.N. Telecom (Parintins Net) - Link de em Parintins - AES</t>
  </si>
  <si>
    <t>2.7.16</t>
  </si>
  <si>
    <t>Firewall para clientes (OI/Fortnet)</t>
  </si>
  <si>
    <t>2.7.17</t>
  </si>
  <si>
    <t>Adobe XD - AES</t>
  </si>
  <si>
    <t>2500 (GSIST)</t>
  </si>
  <si>
    <t>2.7.18</t>
  </si>
  <si>
    <t>Base de Dados Correios (Atualização) - AES</t>
  </si>
  <si>
    <t>2.7.19</t>
  </si>
  <si>
    <t>Assinatura AMAZON (envio de Email e reconhecimento facial) - AES</t>
  </si>
  <si>
    <t>2.7.20</t>
  </si>
  <si>
    <t>Internet Redundante (NBN)</t>
  </si>
  <si>
    <t>2.7.21</t>
  </si>
  <si>
    <t>Conta de desenvolvedor Apple - AES</t>
  </si>
  <si>
    <t>2.7.23</t>
  </si>
  <si>
    <t>SERPRO VPN Base Nacional</t>
  </si>
  <si>
    <t>2.7.24</t>
  </si>
  <si>
    <t>Firewall de borda CheckPoint (NTSEC)</t>
  </si>
  <si>
    <t>2.7.25</t>
  </si>
  <si>
    <t>Safenet -Detran SNG-Gravames - Contrato 009/2019</t>
  </si>
  <si>
    <t>2.7.26</t>
  </si>
  <si>
    <t>ITN - Central de Atendimento OMINICHANNEL - 1º TA</t>
  </si>
  <si>
    <t>2.7.27</t>
  </si>
  <si>
    <t>ITN - Analistas de Projetos CETAM + SES - 2º TA</t>
  </si>
  <si>
    <t>2.7.28</t>
  </si>
  <si>
    <t>ExaCC (Oracle) VS DATA COMÉRCIO E DISTRIBUIÇÃO LTDA - CT 002/2023</t>
  </si>
  <si>
    <t>2.7.29</t>
  </si>
  <si>
    <t xml:space="preserve">E-Graphic e Egsys </t>
  </si>
  <si>
    <t>2.7.30</t>
  </si>
  <si>
    <t>Ironpro</t>
  </si>
  <si>
    <t>2.7.31</t>
  </si>
  <si>
    <t>2.7.32</t>
  </si>
  <si>
    <t>2.8</t>
  </si>
  <si>
    <t>CONTRATOS ADMINISTRATIVOS</t>
  </si>
  <si>
    <t>2.8.1</t>
  </si>
  <si>
    <t>ACTUS - PCMSO</t>
  </si>
  <si>
    <t>2.8.2</t>
  </si>
  <si>
    <t>TOTVS RM Labore e Protheus CT 013/2022</t>
  </si>
  <si>
    <t>2.8.3</t>
  </si>
  <si>
    <t>A. A. M. MAKAREM - Estacionamento Igreja</t>
  </si>
  <si>
    <t>2.8.4</t>
  </si>
  <si>
    <t>Conservação e Limpeza - Presta - Contrato 006/2022</t>
  </si>
  <si>
    <t>2.8.5</t>
  </si>
  <si>
    <t>Projetos Sociais e Sustentáveis</t>
  </si>
  <si>
    <t>2.8.6</t>
  </si>
  <si>
    <t>Vigilância armada - AM Security</t>
  </si>
  <si>
    <t>2.8.7</t>
  </si>
  <si>
    <t>Agentes de Portaria - Higilimp - Contrato 007/2022</t>
  </si>
  <si>
    <t>2.8.8</t>
  </si>
  <si>
    <t>Motoboy - Porfírio</t>
  </si>
  <si>
    <t>2.8.9</t>
  </si>
  <si>
    <t>Banco de preços</t>
  </si>
  <si>
    <t>2.8.10</t>
  </si>
  <si>
    <t xml:space="preserve">Auditoria Independente </t>
  </si>
  <si>
    <t>3300 (GCONT)</t>
  </si>
  <si>
    <t>2.8.11</t>
  </si>
  <si>
    <t>Prestação de serviços eventuais - PJ</t>
  </si>
  <si>
    <t>2.8.12</t>
  </si>
  <si>
    <t>Consultoria Tributária</t>
  </si>
  <si>
    <t>2.8.13</t>
  </si>
  <si>
    <t>Orleans Viagens e Turismo - CTO 13/2020</t>
  </si>
  <si>
    <t>Mensal estimado em 8300</t>
  </si>
  <si>
    <t>2.8.14</t>
  </si>
  <si>
    <t>CONTEGO CONSULTORIA LTDA CT 026/2023</t>
  </si>
  <si>
    <t>2.8.15</t>
  </si>
  <si>
    <t>CLARO S.A CELULARES - CT 011/2022 (Preenchido em Utilidades e Serviços)</t>
  </si>
  <si>
    <t>2.8.16</t>
  </si>
  <si>
    <t>WhatsApp Business (DPMKT)</t>
  </si>
  <si>
    <t>2110 (GENEG)</t>
  </si>
  <si>
    <t>2.8.17</t>
  </si>
  <si>
    <t>Consultoria e Assessoria Contábil</t>
  </si>
  <si>
    <t>2.8.18</t>
  </si>
  <si>
    <t>Consultoria Trabalhista</t>
  </si>
  <si>
    <t>2.8.19</t>
  </si>
  <si>
    <t>2.8.20</t>
  </si>
  <si>
    <t>2.8.21</t>
  </si>
  <si>
    <t>2.9</t>
  </si>
  <si>
    <t>EVENTOS E DIVULGAÇÕES</t>
  </si>
  <si>
    <t xml:space="preserve"> Janeiro </t>
  </si>
  <si>
    <t xml:space="preserve"> Fevereiro </t>
  </si>
  <si>
    <t xml:space="preserve"> Março  </t>
  </si>
  <si>
    <t xml:space="preserve"> Abril </t>
  </si>
  <si>
    <t xml:space="preserve"> Maio </t>
  </si>
  <si>
    <t xml:space="preserve"> Junho </t>
  </si>
  <si>
    <t xml:space="preserve"> Julho </t>
  </si>
  <si>
    <t xml:space="preserve"> Agosto </t>
  </si>
  <si>
    <t xml:space="preserve"> Setembro </t>
  </si>
  <si>
    <t xml:space="preserve"> Outubro </t>
  </si>
  <si>
    <t xml:space="preserve"> Novembro </t>
  </si>
  <si>
    <t xml:space="preserve"> Dezembro </t>
  </si>
  <si>
    <t xml:space="preserve"> TOTAL  </t>
  </si>
  <si>
    <t>2.9.1</t>
  </si>
  <si>
    <t>2.9.2</t>
  </si>
  <si>
    <t>Apoio para equipe PCMSO/PGR/Ergonomia (exames periódicos e atendimento médico)</t>
  </si>
  <si>
    <t>2.9.3</t>
  </si>
  <si>
    <t>Benefícios Sociais - kits bebê e coroas</t>
  </si>
  <si>
    <t>2.9.4</t>
  </si>
  <si>
    <t>Campanha de Vacinação Gripe(almoço técnicos)</t>
  </si>
  <si>
    <t>2.9.5</t>
  </si>
  <si>
    <t>2.9.6</t>
  </si>
  <si>
    <t>2.9.7</t>
  </si>
  <si>
    <t xml:space="preserve"> Lançamento e  implementação do Programa de Saúde Mental</t>
  </si>
  <si>
    <t>2.9.8</t>
  </si>
  <si>
    <t>Dia Nacional de Combate a Hipertensão</t>
  </si>
  <si>
    <t>2.9.9</t>
  </si>
  <si>
    <t xml:space="preserve">Buffet e lanches </t>
  </si>
  <si>
    <t>2.9.10</t>
  </si>
  <si>
    <t>2.9.11</t>
  </si>
  <si>
    <t>2.9.12</t>
  </si>
  <si>
    <t xml:space="preserve">Setembro Amarelo </t>
  </si>
  <si>
    <t>2.9.13</t>
  </si>
  <si>
    <t>Ginastica Laboral</t>
  </si>
  <si>
    <t>2.9.14</t>
  </si>
  <si>
    <t>2.9.15</t>
  </si>
  <si>
    <t>Rodas de Conversa</t>
  </si>
  <si>
    <t>2.9.16</t>
  </si>
  <si>
    <t>CIPA</t>
  </si>
  <si>
    <t>2.9.17</t>
  </si>
  <si>
    <t>PRODAM WEEK (Qualidade, SI e LGPD)</t>
  </si>
  <si>
    <t>2300 (GESIQ)</t>
  </si>
  <si>
    <t>2.9.18</t>
  </si>
  <si>
    <t>Ação de Marketing em geral (Eventos, lançamentos, ação com clientes e parceiros)</t>
  </si>
  <si>
    <t>2.9.19</t>
  </si>
  <si>
    <t>Participação da PRODAM com estande em eventos de seu interesse (gestão de RH, Gov, feiras e congressos)</t>
  </si>
  <si>
    <t>2.9.20</t>
  </si>
  <si>
    <t xml:space="preserve">Aquisição de material de marketing (Itens dversos para divulgação da marca e produtos) - Brindes personalizados, panfletos </t>
  </si>
  <si>
    <t>2.9.21</t>
  </si>
  <si>
    <t>2.9.22</t>
  </si>
  <si>
    <t>Prêmio PQ&amp;A Amazonas (Inscrição (R$ 2.500,00)</t>
  </si>
  <si>
    <t>2.10</t>
  </si>
  <si>
    <t>PROJETOS ESPECIAIS</t>
  </si>
  <si>
    <t>2.10.1</t>
  </si>
  <si>
    <t>Assinatura da ISO ABNT Coleções</t>
  </si>
  <si>
    <t>2.10.2</t>
  </si>
  <si>
    <t>Auditoria Interna IS0 27.002 e 27.701</t>
  </si>
  <si>
    <t>2.10.3</t>
  </si>
  <si>
    <t>Auditoria Externa IS0 manutenção 27.002 e 27.701</t>
  </si>
  <si>
    <t>2.10.4</t>
  </si>
  <si>
    <t>Auditoria Interna do SGQ</t>
  </si>
  <si>
    <t>2.10.5</t>
  </si>
  <si>
    <t>Auditoria Externa de manutenção do SGQ</t>
  </si>
  <si>
    <t>2.10.6</t>
  </si>
  <si>
    <t>SaaS para Gestão de Serviços Corporativos - Chamados (ESM), Gestão da Estratégia (CPM) e Governança, riscos e compliance (GRC) - Soft Expert</t>
  </si>
  <si>
    <t>2.10.7</t>
  </si>
  <si>
    <t>Elaboração do PN 2026</t>
  </si>
  <si>
    <t>2300 (GESIQ/SUPTN)</t>
  </si>
  <si>
    <t>2.10.8</t>
  </si>
  <si>
    <t>Módulo Totvs Desempenho e Objetivos</t>
  </si>
  <si>
    <t>2.10.9</t>
  </si>
  <si>
    <t>2.10.10</t>
  </si>
  <si>
    <t xml:space="preserve">Software Portal RH e módulo férias </t>
  </si>
  <si>
    <t>2.11</t>
  </si>
  <si>
    <t>DIVIDAS EXERCÍCIO ANTERIOR</t>
  </si>
  <si>
    <t>2.11.1</t>
  </si>
  <si>
    <t>Processos Trabalhistas</t>
  </si>
  <si>
    <t>2.11.2</t>
  </si>
  <si>
    <t>Processos Judiciais</t>
  </si>
  <si>
    <t>2.11.3</t>
  </si>
  <si>
    <t>FORNECEDORES 2022</t>
  </si>
  <si>
    <t>2.11.4</t>
  </si>
  <si>
    <t>2.11.5</t>
  </si>
  <si>
    <t>2.12</t>
  </si>
  <si>
    <t>TRIBUTOS/DESPESAS FINANCEIRAS</t>
  </si>
  <si>
    <t>2.12.1</t>
  </si>
  <si>
    <t>2.12.2</t>
  </si>
  <si>
    <t>COFINS CUMULATIVO</t>
  </si>
  <si>
    <t>2.12.3</t>
  </si>
  <si>
    <t>COFINS NÃO CUMULATIVO</t>
  </si>
  <si>
    <t>2.12.4</t>
  </si>
  <si>
    <t>CONCESSÃO DE DESCONTOS</t>
  </si>
  <si>
    <t>2.12.5</t>
  </si>
  <si>
    <t xml:space="preserve">Contribuição Patronal </t>
  </si>
  <si>
    <t>2.12.6</t>
  </si>
  <si>
    <t>2.12.7</t>
  </si>
  <si>
    <t>2.12.8</t>
  </si>
  <si>
    <t>FISTEL</t>
  </si>
  <si>
    <t>2.12.9</t>
  </si>
  <si>
    <t>FUMIPEQ/FSS</t>
  </si>
  <si>
    <t>2.12.10</t>
  </si>
  <si>
    <t>2.12.11</t>
  </si>
  <si>
    <t>2.12.12</t>
  </si>
  <si>
    <t>ICMS DIF DE ALÍQUOTA (aquisições fora de Manaus)</t>
  </si>
  <si>
    <t>2.12.13</t>
  </si>
  <si>
    <t>2.12.14</t>
  </si>
  <si>
    <t>CPRB</t>
  </si>
  <si>
    <t>2.12.15</t>
  </si>
  <si>
    <t>2.12.16</t>
  </si>
  <si>
    <t>2.12.17</t>
  </si>
  <si>
    <t>2.12.18</t>
  </si>
  <si>
    <t>PASEP CUMULATIVO</t>
  </si>
  <si>
    <t>2.12.19</t>
  </si>
  <si>
    <t>PASEP NÃO CUMULATIVO</t>
  </si>
  <si>
    <t>2.12.21</t>
  </si>
  <si>
    <t>2.13</t>
  </si>
  <si>
    <t>DESPESAS CONTÁBEIS</t>
  </si>
  <si>
    <t>2.13.1</t>
  </si>
  <si>
    <t>Amortização novos investimentos</t>
  </si>
  <si>
    <t>2.13.2</t>
  </si>
  <si>
    <t>2.13.3</t>
  </si>
  <si>
    <t>2.13.4</t>
  </si>
  <si>
    <t>2.13.5</t>
  </si>
  <si>
    <t>Depreciação novos investimentos</t>
  </si>
  <si>
    <t>2.13.6</t>
  </si>
  <si>
    <t>Décimo Provisão/Encargos (13o. Contabilidade)</t>
  </si>
  <si>
    <t>2.13.7</t>
  </si>
  <si>
    <t>2.13.8</t>
  </si>
  <si>
    <t>Férias 1/3 Provisão/Encargos</t>
  </si>
  <si>
    <t>2.13.9</t>
  </si>
  <si>
    <t>2.13.10</t>
  </si>
  <si>
    <t>Complementação processos judiciais Allen e C&amp;A</t>
  </si>
  <si>
    <t>2.13.11</t>
  </si>
  <si>
    <t>2.13.12</t>
  </si>
  <si>
    <t>2.13.13</t>
  </si>
  <si>
    <t>2.13.14</t>
  </si>
  <si>
    <t>2.14</t>
  </si>
  <si>
    <t>INVESTIMENTOS</t>
  </si>
  <si>
    <t>2.14.1</t>
  </si>
  <si>
    <t>Atualização e expansão do parque de servidores hiperconvergentes</t>
  </si>
  <si>
    <t>2400 (GINFS)</t>
  </si>
  <si>
    <t>2.14.2</t>
  </si>
  <si>
    <t>Aquisição de notebooks e estações de trabalho</t>
  </si>
  <si>
    <t>2000 (DTE)</t>
  </si>
  <si>
    <t>2.14.3</t>
  </si>
  <si>
    <t>Aquisição de licenças VEEAM p/ completar o ambiente existente</t>
  </si>
  <si>
    <t>2.14.4</t>
  </si>
  <si>
    <t>Peças de Desktop</t>
  </si>
  <si>
    <t>2.14.6</t>
  </si>
  <si>
    <t>Solução de Switch Core e LEAF/ upgrade</t>
  </si>
  <si>
    <t>2.14.8</t>
  </si>
  <si>
    <t>Aquisição de certificados digitais e tokens</t>
  </si>
  <si>
    <t>2.14.9</t>
  </si>
  <si>
    <t>Solução de proteção para endpoints</t>
  </si>
  <si>
    <t>2.14.10</t>
  </si>
  <si>
    <t>Storage para plataforma baixa</t>
  </si>
  <si>
    <t>2.14.11</t>
  </si>
  <si>
    <t>Alocação de Endereçamento de Internet (IPV4 - IPV6) - Ref: ASN-262486 (NIC.BR)</t>
  </si>
  <si>
    <t>2.14.12</t>
  </si>
  <si>
    <t xml:space="preserve">Adequação dos espaços dos PoPs no interior </t>
  </si>
  <si>
    <t>2600 (GTCOM)</t>
  </si>
  <si>
    <t>2.14.14</t>
  </si>
  <si>
    <t>Switches para a Rede Interna da PRODAM (16x 48ports)</t>
  </si>
  <si>
    <t>2.14.15</t>
  </si>
  <si>
    <t xml:space="preserve">Composição de ativos e passivos padrão para os PoPs no interior </t>
  </si>
  <si>
    <t>2.14.16</t>
  </si>
  <si>
    <t xml:space="preserve">Construção e adequação das entradas de telecom </t>
  </si>
  <si>
    <t>2.14.17</t>
  </si>
  <si>
    <t>Instrumentos de Diagnóstico e Medição (OTDR, Cable Meter etc.)</t>
  </si>
  <si>
    <t>2.14.18</t>
  </si>
  <si>
    <t>Solução Wi-Fi para a PRODAM e Clientes</t>
  </si>
  <si>
    <t>2600 (GINFS)</t>
  </si>
  <si>
    <t>2.14.19</t>
  </si>
  <si>
    <t>Switch para a REDEGOV</t>
  </si>
  <si>
    <t>2.14.20</t>
  </si>
  <si>
    <t>Switch para as redes Gasoduto e Amazônia Conectada</t>
  </si>
  <si>
    <t>2.14.21</t>
  </si>
  <si>
    <t>Serviço de Acesso a Servidor de Machine Learning (AWS)</t>
  </si>
  <si>
    <t>2.14.22</t>
  </si>
  <si>
    <t>Aquisição de maquina para processar IA</t>
  </si>
  <si>
    <t>2.14.23</t>
  </si>
  <si>
    <t>Licença Creative Cloud Todos os Apps (2)</t>
  </si>
  <si>
    <t>1101 (GECOM)</t>
  </si>
  <si>
    <t>2.14.24</t>
  </si>
  <si>
    <t>Livros técnicos</t>
  </si>
  <si>
    <t>2.14.25</t>
  </si>
  <si>
    <t xml:space="preserve">Canva </t>
  </si>
  <si>
    <t>2.14.26</t>
  </si>
  <si>
    <t xml:space="preserve">Capcut Pro </t>
  </si>
  <si>
    <t>2.14.27</t>
  </si>
  <si>
    <t>Licença Gestor de Redes Sociais mLabs -</t>
  </si>
  <si>
    <t>2.14.28</t>
  </si>
  <si>
    <t xml:space="preserve">Clipping Eletrônico </t>
  </si>
  <si>
    <t>2.14.29</t>
  </si>
  <si>
    <t>Fone de Ouvido Sem Fio,Bluetooth, Wave Buds 2, Intra Auricular</t>
  </si>
  <si>
    <t>2.14.30</t>
  </si>
  <si>
    <t>2und. - Mouses Ergonômicos verticais</t>
  </si>
  <si>
    <t>R$ 104,67 (unidade)</t>
  </si>
  <si>
    <t>2.14.31</t>
  </si>
  <si>
    <t>4und. - Fone headset (fone com microfone) JBL Quantum 100M2</t>
  </si>
  <si>
    <t>R$ 149,99  (unidade)</t>
  </si>
  <si>
    <t>2.14.32</t>
  </si>
  <si>
    <t>2und. - Bastão Luz Led 6w P200 Rgb Controle Remoto Bluetooth + Tripé Estrutura Preto</t>
  </si>
  <si>
    <t>2.14.33</t>
  </si>
  <si>
    <t xml:space="preserve">3und. - Colete Impressa/ Fotografo </t>
  </si>
  <si>
    <t>2.14.34</t>
  </si>
  <si>
    <t>Curso REC Learning Audiovisual [Casal REC]</t>
  </si>
  <si>
    <t>2.14.35</t>
  </si>
  <si>
    <t>1und. - Gimbal Celular DJI Osmo Mobile 7P Preto ou Branco</t>
  </si>
  <si>
    <t>Implantação de Website PRODAM com E-Commerce</t>
  </si>
  <si>
    <t>2300 (GENEG)</t>
  </si>
  <si>
    <t>Solução de CRM, com funil de vendas</t>
  </si>
  <si>
    <t>Provisão para investimento em projetos de inovação</t>
  </si>
  <si>
    <t>2200 (GPROJ)</t>
  </si>
  <si>
    <t>Licenças MS Project, Power Bi e outros</t>
  </si>
  <si>
    <t>Construção da Loja física da PRODAM</t>
  </si>
  <si>
    <t>2.14.36</t>
  </si>
  <si>
    <t>Manutenção em persianas e mobiliários para a SPFAT, SPPAG e SPROR</t>
  </si>
  <si>
    <t>3200 (GEFIN)</t>
  </si>
  <si>
    <t>2.14.37</t>
  </si>
  <si>
    <t>Aquisição de 7 cadeiras Ergonômicas para a SPFOP</t>
  </si>
  <si>
    <t>2.14.38</t>
  </si>
  <si>
    <t>Aquisiçao de 2 cadeiras ergonômicas para a SPDES</t>
  </si>
  <si>
    <t>2.14.39</t>
  </si>
  <si>
    <t>Aquisição de 4 teclados ergonômicos  para a SPSES</t>
  </si>
  <si>
    <t>2.14.40</t>
  </si>
  <si>
    <t>Aquisições de peças para equipamentos elétricos (peças para gerador, peças para nobreak e outros equipamentos por desgaste natural e para manutenção corretiva) e outros que possam surgir</t>
  </si>
  <si>
    <t>2.14.41</t>
  </si>
  <si>
    <t>Aquisições elétricas por meio de ata de registro de preço (cabos, tomadas, eletrocalhas e entre outros elementos para infraestrutura predial de caráter elétrico para corrigir inconformidades de maneira geral) - SIGED 01.05.016503.004044/2022-04</t>
  </si>
  <si>
    <t>2.14.42</t>
  </si>
  <si>
    <t>Nobreak para área administrativa (nobreak, bateria, quadro de by-pass, cabos, mão de obra de instalação, quadro de cargas unificado) SIGED 01.05.016503.003348/2022-46</t>
  </si>
  <si>
    <t>2.14.43</t>
  </si>
  <si>
    <t>Aquisição de PDU´s e Racks para CPD 01 para monitoramento elétrico (3250/2023-70)</t>
  </si>
  <si>
    <t>2.14.44</t>
  </si>
  <si>
    <t>Revisão dos Quadros Elétricos (correção de inconformidades e instalação de terra e neutro)</t>
  </si>
  <si>
    <t xml:space="preserve"> R$ -   </t>
  </si>
  <si>
    <t>2.14.45</t>
  </si>
  <si>
    <t>Troca de óleo de gerador de 635 kVA + aluguel de geradores de backup</t>
  </si>
  <si>
    <t>2.14.46</t>
  </si>
  <si>
    <t>Adequação do quadro elétrico do CPD 02 para ampliação do nobreak (SIGED 1812/2024-21)</t>
  </si>
  <si>
    <t>2.14.47</t>
  </si>
  <si>
    <t>Projeto Elétrico Executivo do Data Center 02 ( SIGED 1604/2024-22)</t>
  </si>
  <si>
    <t>2.14.48</t>
  </si>
  <si>
    <t>Unificação dos quadros elétricos 06 e 07 (SIGED 3802/2023-40)</t>
  </si>
  <si>
    <t>2.14.49</t>
  </si>
  <si>
    <t>Instalação de um painel elétrico de cargas críticas (SIGED 4461/2023-20)</t>
  </si>
  <si>
    <t>2.14.50</t>
  </si>
  <si>
    <t>Instalação de sensor de combustivel para gerador de 635 kVA + mão de obra não contemplada em contrato</t>
  </si>
  <si>
    <t>2.14.51</t>
  </si>
  <si>
    <t>Aquisição de Nobreak de (1) 60 kVA + banco de baterias + adequação da subestação + nobreak (01) de 100 kVA + banco de baterias + adequação de subestação + chave de by-pass de manutenção</t>
  </si>
  <si>
    <t>2.14.52</t>
  </si>
  <si>
    <t>Renovação de software p/ projetos elétricos</t>
  </si>
  <si>
    <t>2.14.53</t>
  </si>
  <si>
    <t>Contratação do projeto da ETE PRODAM</t>
  </si>
  <si>
    <t>2.14.54</t>
  </si>
  <si>
    <t>Reforma da fábrica de Software para novos funcionários do concurso (Telhado, forro, pintura, luminárias)</t>
  </si>
  <si>
    <t>2.14.55</t>
  </si>
  <si>
    <t>Relógios de Ponto e Catracas</t>
  </si>
  <si>
    <t>2.14.56</t>
  </si>
  <si>
    <t>Central Telefônica</t>
  </si>
  <si>
    <t>2.14.57</t>
  </si>
  <si>
    <t>Marketing Digital (anúncios, campanhas)</t>
  </si>
  <si>
    <t>2.14.58</t>
  </si>
  <si>
    <t>Provisão para investimento em projetos de redesign/inovação de produtos do porfólio PRODAM (CitySmart)</t>
  </si>
  <si>
    <t>2.14.59</t>
  </si>
  <si>
    <t>WAF F5 (NTSEC) aquisição</t>
  </si>
  <si>
    <t>2.14.60</t>
  </si>
  <si>
    <t>Registro de Marca de Produtos (6 registros previstos para 2026)</t>
  </si>
  <si>
    <t>2.14.62</t>
  </si>
  <si>
    <t>2.14.63</t>
  </si>
  <si>
    <t>2.14.64</t>
  </si>
  <si>
    <t>2.14.65</t>
  </si>
  <si>
    <t>2.14.66</t>
  </si>
  <si>
    <t>2.14.67</t>
  </si>
  <si>
    <t>2.14.68</t>
  </si>
  <si>
    <t>TOTAL 2.14 ==&gt;</t>
  </si>
  <si>
    <t>2.15</t>
  </si>
  <si>
    <t>RESERVA DE CONTIGÊNCIA</t>
  </si>
  <si>
    <t>2.15.1</t>
  </si>
  <si>
    <t>TOTAL 2.15 ==&gt;</t>
  </si>
  <si>
    <t xml:space="preserve"> R$                                    -  </t>
  </si>
  <si>
    <t>BAIXADO CONTA CORRENTE, APLICAÇÃO e CAIXA</t>
  </si>
  <si>
    <t>BAIXADO DEPÓSITOS EM JUÍZO</t>
  </si>
  <si>
    <t>RECEBIMENTO POR INDENIZAÇÃO</t>
  </si>
  <si>
    <t>TOTAL MOVIMENTAÇÃO FINANCEIRA</t>
  </si>
  <si>
    <t>DEMONSTRATIVO ANUAL RESULTADO CONTÁBIL</t>
  </si>
  <si>
    <t>DEMONSTRATIVO ANUAL RESULTADO FINANCEIRO</t>
  </si>
  <si>
    <t>TOTAL RECEITA ESTIMADAS</t>
  </si>
  <si>
    <t>TOTAL RECEB. ESTIMADO</t>
  </si>
  <si>
    <t>TOTAL GERAL DESPESAS/INVESTIMENTOS E RESTOS A PAGAR</t>
  </si>
  <si>
    <t>DIFERENÇA  RECEITAS X DESPESAS INVEST/RAP</t>
  </si>
  <si>
    <t>DIFERENÇA RECEBIMENTO/DESPESAS INVESTIMENTO/RAP</t>
  </si>
  <si>
    <t>1. TOTAL INVESTIMENTOS 2.14</t>
  </si>
  <si>
    <t>1. TOTAL DESPESAS CONTÁBEIS 2.12</t>
  </si>
  <si>
    <t>2. TOTAL 2.11 DÍVIDAS EXERCÍCIOS ANTERIOR</t>
  </si>
  <si>
    <t>2. TOTAL ISS - SOLIDÁRIOS</t>
  </si>
  <si>
    <t>3. DÉCIMO TERCEIRO SALÁRIO PAGAMENTO</t>
  </si>
  <si>
    <t>3.  PROVISÃO DÉCIMO TERCEIRO</t>
  </si>
  <si>
    <t>4. 1/3 FÉRIAS PAGAMENTO</t>
  </si>
  <si>
    <t>4. PROVISÃO 1/3 FÉRIAS/ENCARGOS</t>
  </si>
  <si>
    <t>5. RESCISÃO</t>
  </si>
  <si>
    <t>5. CONTRATOS TÉCNICOS REGIME DE COMPETÊNCIA</t>
  </si>
  <si>
    <t>6. TOTAL ISS - PRIVADOS</t>
  </si>
  <si>
    <t>7. FORNECEDORES CORRENTES</t>
  </si>
  <si>
    <t>Primeiro contingenciamento (30%)</t>
  </si>
  <si>
    <t>Segundo contingenciamento (25%)</t>
  </si>
  <si>
    <t>DEMONSTRATIVO RESULTADO CONTÁBIL</t>
  </si>
  <si>
    <t>DESCRIÇÃO</t>
  </si>
  <si>
    <t>1º TRIMESTRE</t>
  </si>
  <si>
    <t>2º TRIMESTRE</t>
  </si>
  <si>
    <t>3º TRIMESTRE</t>
  </si>
  <si>
    <t>4º TRIMESTRE</t>
  </si>
  <si>
    <t>2. DÉCIMO TERCEIRO SALÁRIO PAGAMENTO</t>
  </si>
  <si>
    <t>3. 1/3 FÉRIAS PAGAMENTO</t>
  </si>
  <si>
    <t>4. RESCISÃO</t>
  </si>
  <si>
    <t>DEMONSTRATIVO RESULTADO FINANCEIRO</t>
  </si>
  <si>
    <t>5. TOTAL ISS - PRIVADOS</t>
  </si>
  <si>
    <t xml:space="preserve">DESPESAS GERAIS </t>
  </si>
  <si>
    <t>GRUPOS</t>
  </si>
  <si>
    <t>NOTAS:</t>
  </si>
  <si>
    <t xml:space="preserve">Pessoal - Base incial </t>
  </si>
  <si>
    <t xml:space="preserve">Gratificação:  </t>
  </si>
  <si>
    <t xml:space="preserve">ATS, </t>
  </si>
  <si>
    <t>Outras Remunerações: Abono de Férias; Adicional Noturno; Insaubridade; Disponibilidade; Auxílio Previdenciário</t>
  </si>
  <si>
    <t>Comdasp Tercerizados/Conservação: Janeiro de 2020 valores reais</t>
  </si>
  <si>
    <t>Capacitação:  Avaliar em definir um percentual sobre a Receita</t>
  </si>
  <si>
    <t>Links: Considerado, a partir de março, os preços médios em disputa do processo licitatório para links de 10mbps (R$495,00) e 450 pontos</t>
  </si>
  <si>
    <t>Contratos Fornecedores, lançados conforme contrato (valor e vigência)</t>
  </si>
  <si>
    <t>Energia- Média de 2019</t>
  </si>
  <si>
    <t>FUMIPEQ - 1% sobre o valor pago pela prefeitura - faturamento</t>
  </si>
  <si>
    <t>Os TRIBUTOS devem ser considerados sobre a Receita (PIS/COFINS/INSS e ISS) e o IRPJ e CSLL sobre o resultado</t>
  </si>
  <si>
    <t>Planejamento Estratégico considerado o valor estimado de R$ 539.000,00 rateado em 16 meses</t>
  </si>
  <si>
    <t xml:space="preserve">Investimentos Pendentes: </t>
  </si>
  <si>
    <t xml:space="preserve">Receita de Convênios - </t>
  </si>
  <si>
    <t xml:space="preserve">Receita Financeira - </t>
  </si>
  <si>
    <t>Reserva de Contigência - Valor que deverá ser usado no decorrer do ano para despesas não planejadas.</t>
  </si>
  <si>
    <t>Abono de férias - Média</t>
  </si>
  <si>
    <t>LICITAR - VECTO EM 17/08/2018</t>
  </si>
  <si>
    <t>Décimo Terceiro Pagamentos</t>
  </si>
  <si>
    <t>Encargos (*1)</t>
  </si>
  <si>
    <t>Estágio (14)</t>
  </si>
  <si>
    <t>Novos Colaboradores (Concurso 62 pessoas)</t>
  </si>
  <si>
    <t>Outras Remunerações-Média (dispnibilidade,adicionais e auxílio)</t>
  </si>
  <si>
    <t xml:space="preserve">Passagens  </t>
  </si>
  <si>
    <t>Transformação de Processos</t>
  </si>
  <si>
    <t>GEGEP/SPQUAL</t>
  </si>
  <si>
    <t>Treinamento em Segurança da Informação</t>
  </si>
  <si>
    <t>Participação em evento de produtos no mercado</t>
  </si>
  <si>
    <t>GENEG</t>
  </si>
  <si>
    <t>Business Model Canvas</t>
  </si>
  <si>
    <t>Fórum de Gestão Comercial</t>
  </si>
  <si>
    <t>Capacitação em Precificação</t>
  </si>
  <si>
    <t>Pipeline de Vendas: Gestão, Análise e Estatística</t>
  </si>
  <si>
    <t xml:space="preserve">Participação em eventos </t>
  </si>
  <si>
    <t xml:space="preserve">Treinamentos Fiscais </t>
  </si>
  <si>
    <t>GEADM</t>
  </si>
  <si>
    <t>Treinamento para infraestrutura e serviços</t>
  </si>
  <si>
    <t>Aumento 2% apartir de 11/18</t>
  </si>
  <si>
    <t>AFX- SISTEMAS -&gt; Acesso wireless - hotspots/PJ-AT</t>
  </si>
  <si>
    <r>
      <t>12</t>
    </r>
    <r>
      <rPr>
        <sz val="10"/>
        <color rgb="FF0070C0"/>
        <rFont val="Calibri"/>
        <family val="2"/>
      </rPr>
      <t>ª</t>
    </r>
    <r>
      <rPr>
        <sz val="9"/>
        <color rgb="FF0070C0"/>
        <rFont val="Arial"/>
        <family val="2"/>
      </rPr>
      <t xml:space="preserve"> a 23ª parcela - Serviços Já demandados</t>
    </r>
  </si>
  <si>
    <t>IBM - Contratos 015/14 - Licença    -Cessão</t>
  </si>
  <si>
    <t>IBM - Contratos 019/17- Manutenção de Equipamentos</t>
  </si>
  <si>
    <t>Validade até 10/08/2017 - Tudo pago</t>
  </si>
  <si>
    <t>NDC Material de Construção - Contrato 008/2017 -Containers</t>
  </si>
  <si>
    <t>Reajuste 2% - 13/04/2018 - NÃO DEMANDADO</t>
  </si>
  <si>
    <t xml:space="preserve">Techne - Estimativa </t>
  </si>
  <si>
    <t>Ajustes Físicos</t>
  </si>
  <si>
    <t>Certificados SSL</t>
  </si>
  <si>
    <t>GESIN</t>
  </si>
  <si>
    <t>Licenciamento Sofware ODETE FTP SERVER</t>
  </si>
  <si>
    <t>BlocO IPV4 + ASN</t>
  </si>
  <si>
    <t>Manutenção Domínio</t>
  </si>
  <si>
    <t>TOTAL 2.6</t>
  </si>
  <si>
    <t xml:space="preserve">Auditoria independente </t>
  </si>
  <si>
    <t>Conselho de Auditoria Estatutário</t>
  </si>
  <si>
    <t>Contrato AMAZON Copiadora - Contrato n.005/2016 - Alugueis Móveis</t>
  </si>
  <si>
    <t>Engecrim - Manutenção subestação - AES 107 e 135/2017-PJ /AA</t>
  </si>
  <si>
    <t>LICITAR</t>
  </si>
  <si>
    <t>I9 SERVIÇOS-Contrato017/2017 - SPDA</t>
  </si>
  <si>
    <t>MR Maciel -ME - Paroquia - estacionamento 014/2017- PJ -AA</t>
  </si>
  <si>
    <t>Segurança Patrimonial - Ronin - Contrato 01/2018</t>
  </si>
  <si>
    <t>Fevereiro novo fornecedor</t>
  </si>
  <si>
    <t>TOTVS- AJUSTES PARA O E-SOCIAL</t>
  </si>
  <si>
    <t>Execução do Projeto de Prevenção e Combate a Incêncio</t>
  </si>
  <si>
    <t>Construção da Nova Cobertura(Telhado)da Empresa</t>
  </si>
  <si>
    <t>Obra de Engenharia para reparo do antigo Almoxarifado</t>
  </si>
  <si>
    <t>Instalação de cerca eletrica da empresa</t>
  </si>
  <si>
    <t>Dia Nacional de Prevenção e Acidentes de Trabalho</t>
  </si>
  <si>
    <t>Evento de relacionamento com o setor privado</t>
  </si>
  <si>
    <t>INSS DIGITAL</t>
  </si>
  <si>
    <t>GINÁSTICA LABORAL</t>
  </si>
  <si>
    <t>Manutenção da ISO</t>
  </si>
  <si>
    <t>SPQUAL</t>
  </si>
  <si>
    <t>*. Assinatura da ISO ABNT Coleções</t>
  </si>
  <si>
    <t>* Auditoria Interna</t>
  </si>
  <si>
    <t>* Auditoria Externa de certificação integrada</t>
  </si>
  <si>
    <t>* Semana da Qualidade e Segurança da Informação</t>
  </si>
  <si>
    <t>Certificação em Segurança da Informação</t>
  </si>
  <si>
    <t>* Análise de GAP IS0 27.002</t>
  </si>
  <si>
    <t>* Consultoria para intergração Qualidade/Segurança</t>
  </si>
  <si>
    <t>CA - CONTRATO 12/2016 e 02/2017</t>
  </si>
  <si>
    <t xml:space="preserve">LANLINK SOLUÇÕES </t>
  </si>
  <si>
    <t>PROCESSO TRABALHISTA</t>
  </si>
  <si>
    <t>COFINS COMULATIVO</t>
  </si>
  <si>
    <t>COFINS NÃO COMULATIVO</t>
  </si>
  <si>
    <t>Contribuição Formento e Rádio Fusão</t>
  </si>
  <si>
    <t>PASEP COMULATIVO</t>
  </si>
  <si>
    <t>PASEP NÃO COMULATIVO</t>
  </si>
  <si>
    <t>Acertos contábeis</t>
  </si>
  <si>
    <t>Solução de Segurança da Informação (Firewall e IPS )</t>
  </si>
  <si>
    <t>Solução de Gerenciamento de TI - Software</t>
  </si>
  <si>
    <t>Solução de Container - Aplicações - Devops</t>
  </si>
  <si>
    <t>Solução de Rehost software AG (Downsize do mainframe)</t>
  </si>
  <si>
    <t>Substituição de 04 Carros da Frota -PRODAM</t>
  </si>
  <si>
    <t>Aquisição de Analisador de Energia</t>
  </si>
  <si>
    <t>Aquisição de mobiliario(MESAS E CADEIRAS)</t>
  </si>
  <si>
    <t xml:space="preserve">Mobiliários novos colaboradores </t>
  </si>
  <si>
    <t>GECON</t>
  </si>
  <si>
    <t>1. TOTAL INVESTIMENTOS 2.13</t>
  </si>
  <si>
    <t>2. TOTAL 2.10 DÍVIDAS EXERCÍCIOS ANTERIOR</t>
  </si>
  <si>
    <t>3. DÉCIMO TERCEIRO SALÁRIO</t>
  </si>
  <si>
    <t>TOTAL RECEBIMENTO ESTIMADO</t>
  </si>
  <si>
    <t>4. TOTAL ISS - PRIVADOS</t>
  </si>
  <si>
    <t>Salários: Considerado o o real de dezembro de 2017, não estimado dissídio</t>
  </si>
  <si>
    <t>Horas Extras - o real de novembro de 2017 - superior a média</t>
  </si>
  <si>
    <t>ATS - acréscido 500,00</t>
  </si>
  <si>
    <t>ENCARGOS -&gt; Não considerada a reoneração da folha de pagamento</t>
  </si>
  <si>
    <t>ALPHEUS NÃO PODENDO SER RENOVADO, COMPLETOU 60 MESES EM DEZEMBRO</t>
  </si>
  <si>
    <t>MÉDIA DIRETORIA -&gt; 21.705,52</t>
  </si>
  <si>
    <t>Conselho Fiscal: R$ 2.170,55 por conselheiro</t>
  </si>
  <si>
    <t>Comitê de auditoria Estatutário - mínimo 3 max 5</t>
  </si>
  <si>
    <t>Renovacao TSM (Backup)</t>
  </si>
  <si>
    <t>Renovação vmware (virtualizacao)</t>
  </si>
  <si>
    <t>Lenovo contrato manutenção chassi e blades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</si>
</sst>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  <numFmt numFmtId="165" formatCode="&quot;R$&quot;\ 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Arial"/>
      <family val="2"/>
    </font>
    <font>
      <sz val="8"/>
      <color theme="8" tint="-0.249977111117893"/>
      <name val="Arial"/>
      <family val="2"/>
    </font>
    <font>
      <sz val="10"/>
      <color rgb="FF0070C0"/>
      <name val="Arial"/>
      <family val="2"/>
    </font>
    <font>
      <sz val="8"/>
      <color rgb="FF002060"/>
      <name val="Arial"/>
      <family val="2"/>
    </font>
    <font>
      <sz val="8"/>
      <color rgb="FF0070C0"/>
      <name val="Arial"/>
      <family val="2"/>
    </font>
    <font>
      <b/>
      <sz val="9"/>
      <color rgb="FF0070C0"/>
      <name val="Arial"/>
      <family val="2"/>
    </font>
    <font>
      <sz val="10"/>
      <color rgb="FF0070C0"/>
      <name val="Calibri"/>
      <family val="2"/>
    </font>
    <font>
      <sz val="9"/>
      <color rgb="FF0070C0"/>
      <name val="Arial"/>
      <family val="2"/>
    </font>
    <font>
      <b/>
      <sz val="14"/>
      <name val="Arial"/>
      <family val="2"/>
    </font>
    <font>
      <b/>
      <sz val="10"/>
      <color rgb="FF0070C0"/>
      <name val="Arial"/>
      <family val="2"/>
    </font>
    <font>
      <sz val="14"/>
      <color rgb="FFFF0000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u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rgb="FF002060"/>
      <name val="Arial"/>
      <family val="2"/>
    </font>
    <font>
      <sz val="8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trike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0000FF"/>
      <name val="Arial"/>
      <family val="2"/>
    </font>
    <font>
      <sz val="10"/>
      <color theme="4" tint="-0.499984740745262"/>
      <name val="Arial"/>
      <family val="2"/>
    </font>
    <font>
      <sz val="11"/>
      <name val="Aptos Narrow"/>
      <family val="2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5">
    <xf numFmtId="0" fontId="0" fillId="0" borderId="0" xfId="0"/>
    <xf numFmtId="0" fontId="4" fillId="0" borderId="0" xfId="0" applyFont="1"/>
    <xf numFmtId="0" fontId="3" fillId="2" borderId="0" xfId="0" applyFont="1" applyFill="1"/>
    <xf numFmtId="0" fontId="6" fillId="2" borderId="0" xfId="0" applyFont="1" applyFill="1"/>
    <xf numFmtId="0" fontId="5" fillId="0" borderId="0" xfId="0" applyFont="1"/>
    <xf numFmtId="0" fontId="4" fillId="0" borderId="1" xfId="0" applyFont="1" applyBorder="1" applyAlignment="1">
      <alignment wrapText="1"/>
    </xf>
    <xf numFmtId="43" fontId="2" fillId="0" borderId="1" xfId="1" applyFont="1" applyBorder="1"/>
    <xf numFmtId="0" fontId="3" fillId="4" borderId="1" xfId="0" applyFont="1" applyFill="1" applyBorder="1" applyAlignment="1">
      <alignment horizontal="center" wrapText="1"/>
    </xf>
    <xf numFmtId="43" fontId="9" fillId="4" borderId="1" xfId="1" applyFont="1" applyFill="1" applyBorder="1"/>
    <xf numFmtId="0" fontId="4" fillId="0" borderId="1" xfId="0" applyFont="1" applyBorder="1"/>
    <xf numFmtId="0" fontId="8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7" borderId="1" xfId="1" applyFont="1" applyFill="1" applyBorder="1"/>
    <xf numFmtId="0" fontId="8" fillId="2" borderId="0" xfId="0" applyFont="1" applyFill="1"/>
    <xf numFmtId="43" fontId="4" fillId="0" borderId="0" xfId="0" applyNumberFormat="1" applyFont="1"/>
    <xf numFmtId="0" fontId="11" fillId="2" borderId="0" xfId="0" applyFont="1" applyFill="1" applyAlignment="1">
      <alignment horizontal="center"/>
    </xf>
    <xf numFmtId="43" fontId="11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/>
    </xf>
    <xf numFmtId="43" fontId="4" fillId="0" borderId="0" xfId="1" applyFont="1"/>
    <xf numFmtId="43" fontId="3" fillId="0" borderId="0" xfId="1" applyFont="1"/>
    <xf numFmtId="17" fontId="4" fillId="0" borderId="0" xfId="0" applyNumberFormat="1" applyFont="1" applyAlignment="1">
      <alignment horizontal="center"/>
    </xf>
    <xf numFmtId="17" fontId="4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17" fontId="3" fillId="0" borderId="0" xfId="0" applyNumberFormat="1" applyFont="1" applyAlignment="1">
      <alignment horizontal="center"/>
    </xf>
    <xf numFmtId="43" fontId="11" fillId="3" borderId="3" xfId="0" applyNumberFormat="1" applyFont="1" applyFill="1" applyBorder="1" applyAlignment="1">
      <alignment horizontal="center"/>
    </xf>
    <xf numFmtId="43" fontId="2" fillId="0" borderId="1" xfId="1" applyFont="1" applyFill="1" applyBorder="1"/>
    <xf numFmtId="43" fontId="2" fillId="2" borderId="1" xfId="1" applyFont="1" applyFill="1" applyBorder="1"/>
    <xf numFmtId="0" fontId="8" fillId="6" borderId="1" xfId="0" applyFont="1" applyFill="1" applyBorder="1" applyAlignment="1">
      <alignment horizontal="center" wrapText="1"/>
    </xf>
    <xf numFmtId="0" fontId="4" fillId="2" borderId="0" xfId="0" applyFont="1" applyFill="1"/>
    <xf numFmtId="0" fontId="5" fillId="2" borderId="0" xfId="0" applyFont="1" applyFill="1"/>
    <xf numFmtId="4" fontId="2" fillId="0" borderId="1" xfId="1" applyNumberFormat="1" applyFont="1" applyBorder="1"/>
    <xf numFmtId="4" fontId="2" fillId="0" borderId="1" xfId="1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3" fontId="13" fillId="0" borderId="1" xfId="1" applyFont="1" applyBorder="1"/>
    <xf numFmtId="43" fontId="11" fillId="9" borderId="1" xfId="0" applyNumberFormat="1" applyFont="1" applyFill="1" applyBorder="1" applyAlignment="1">
      <alignment horizontal="center"/>
    </xf>
    <xf numFmtId="43" fontId="16" fillId="9" borderId="1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43" fontId="18" fillId="0" borderId="1" xfId="0" applyNumberFormat="1" applyFont="1" applyBorder="1"/>
    <xf numFmtId="43" fontId="11" fillId="3" borderId="6" xfId="0" applyNumberFormat="1" applyFont="1" applyFill="1" applyBorder="1" applyAlignment="1">
      <alignment horizontal="center"/>
    </xf>
    <xf numFmtId="0" fontId="7" fillId="10" borderId="1" xfId="0" applyFont="1" applyFill="1" applyBorder="1"/>
    <xf numFmtId="0" fontId="3" fillId="6" borderId="1" xfId="0" applyFont="1" applyFill="1" applyBorder="1"/>
    <xf numFmtId="0" fontId="5" fillId="0" borderId="1" xfId="0" applyFont="1" applyBorder="1"/>
    <xf numFmtId="0" fontId="4" fillId="2" borderId="1" xfId="0" applyFont="1" applyFill="1" applyBorder="1"/>
    <xf numFmtId="0" fontId="12" fillId="0" borderId="1" xfId="0" applyFont="1" applyBorder="1"/>
    <xf numFmtId="0" fontId="3" fillId="6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0" fillId="2" borderId="1" xfId="0" applyFont="1" applyFill="1" applyBorder="1"/>
    <xf numFmtId="0" fontId="3" fillId="8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/>
    <xf numFmtId="0" fontId="18" fillId="0" borderId="1" xfId="0" applyFont="1" applyBorder="1"/>
    <xf numFmtId="43" fontId="21" fillId="4" borderId="1" xfId="1" applyFont="1" applyFill="1" applyBorder="1"/>
    <xf numFmtId="0" fontId="24" fillId="10" borderId="1" xfId="0" applyFont="1" applyFill="1" applyBorder="1"/>
    <xf numFmtId="0" fontId="8" fillId="6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8" fillId="6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6" borderId="1" xfId="0" applyFont="1" applyFill="1" applyBorder="1"/>
    <xf numFmtId="0" fontId="8" fillId="7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8" fillId="8" borderId="1" xfId="0" applyFont="1" applyFill="1" applyBorder="1"/>
    <xf numFmtId="43" fontId="25" fillId="4" borderId="1" xfId="1" applyFont="1" applyFill="1" applyBorder="1"/>
    <xf numFmtId="43" fontId="20" fillId="0" borderId="1" xfId="1" applyFont="1" applyBorder="1"/>
    <xf numFmtId="43" fontId="20" fillId="0" borderId="1" xfId="1" applyFont="1" applyFill="1" applyBorder="1"/>
    <xf numFmtId="0" fontId="25" fillId="11" borderId="1" xfId="0" applyFont="1" applyFill="1" applyBorder="1"/>
    <xf numFmtId="164" fontId="8" fillId="5" borderId="1" xfId="0" applyNumberFormat="1" applyFont="1" applyFill="1" applyBorder="1" applyAlignment="1">
      <alignment horizontal="center"/>
    </xf>
    <xf numFmtId="43" fontId="17" fillId="0" borderId="1" xfId="1" applyFont="1" applyBorder="1"/>
    <xf numFmtId="43" fontId="17" fillId="0" borderId="1" xfId="1" applyFont="1" applyFill="1" applyBorder="1"/>
    <xf numFmtId="43" fontId="19" fillId="0" borderId="1" xfId="1" applyFont="1" applyFill="1" applyBorder="1"/>
    <xf numFmtId="43" fontId="2" fillId="6" borderId="1" xfId="1" applyFont="1" applyFill="1" applyBorder="1"/>
    <xf numFmtId="43" fontId="8" fillId="2" borderId="1" xfId="0" applyNumberFormat="1" applyFont="1" applyFill="1" applyBorder="1" applyAlignment="1">
      <alignment horizontal="center"/>
    </xf>
    <xf numFmtId="43" fontId="11" fillId="2" borderId="1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2" borderId="10" xfId="0" applyFont="1" applyFill="1" applyBorder="1"/>
    <xf numFmtId="0" fontId="7" fillId="10" borderId="8" xfId="0" applyFont="1" applyFill="1" applyBorder="1"/>
    <xf numFmtId="0" fontId="7" fillId="10" borderId="6" xfId="0" applyFont="1" applyFill="1" applyBorder="1"/>
    <xf numFmtId="43" fontId="8" fillId="2" borderId="1" xfId="1" applyFont="1" applyFill="1" applyBorder="1" applyAlignment="1">
      <alignment horizontal="center"/>
    </xf>
    <xf numFmtId="43" fontId="3" fillId="0" borderId="1" xfId="1" applyFont="1" applyFill="1" applyBorder="1"/>
    <xf numFmtId="0" fontId="12" fillId="2" borderId="1" xfId="0" applyFont="1" applyFill="1" applyBorder="1"/>
    <xf numFmtId="0" fontId="25" fillId="2" borderId="1" xfId="0" applyFont="1" applyFill="1" applyBorder="1"/>
    <xf numFmtId="0" fontId="12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0" borderId="1" xfId="0" applyNumberFormat="1" applyFont="1" applyBorder="1"/>
    <xf numFmtId="43" fontId="8" fillId="4" borderId="1" xfId="1" applyFont="1" applyFill="1" applyBorder="1"/>
    <xf numFmtId="0" fontId="8" fillId="0" borderId="1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0" borderId="6" xfId="0" applyFont="1" applyBorder="1"/>
    <xf numFmtId="0" fontId="27" fillId="2" borderId="0" xfId="0" applyFont="1" applyFill="1"/>
    <xf numFmtId="0" fontId="28" fillId="2" borderId="0" xfId="0" applyFont="1" applyFill="1"/>
    <xf numFmtId="43" fontId="4" fillId="0" borderId="0" xfId="1" applyFont="1" applyFill="1"/>
    <xf numFmtId="0" fontId="29" fillId="2" borderId="0" xfId="0" applyFont="1" applyFill="1"/>
    <xf numFmtId="43" fontId="30" fillId="2" borderId="0" xfId="0" applyNumberFormat="1" applyFont="1" applyFill="1"/>
    <xf numFmtId="4" fontId="30" fillId="2" borderId="0" xfId="0" applyNumberFormat="1" applyFont="1" applyFill="1"/>
    <xf numFmtId="0" fontId="9" fillId="2" borderId="0" xfId="0" applyFont="1" applyFill="1"/>
    <xf numFmtId="43" fontId="2" fillId="13" borderId="1" xfId="0" applyNumberFormat="1" applyFont="1" applyFill="1" applyBorder="1"/>
    <xf numFmtId="0" fontId="30" fillId="2" borderId="0" xfId="0" applyFont="1" applyFill="1"/>
    <xf numFmtId="0" fontId="31" fillId="2" borderId="0" xfId="0" applyFont="1" applyFill="1"/>
    <xf numFmtId="0" fontId="29" fillId="0" borderId="0" xfId="0" applyFont="1"/>
    <xf numFmtId="43" fontId="30" fillId="0" borderId="0" xfId="0" applyNumberFormat="1" applyFont="1"/>
    <xf numFmtId="43" fontId="30" fillId="0" borderId="0" xfId="1" applyFont="1"/>
    <xf numFmtId="43" fontId="32" fillId="13" borderId="1" xfId="0" applyNumberFormat="1" applyFont="1" applyFill="1" applyBorder="1"/>
    <xf numFmtId="0" fontId="8" fillId="0" borderId="0" xfId="0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3" fontId="8" fillId="12" borderId="1" xfId="0" applyNumberFormat="1" applyFont="1" applyFill="1" applyBorder="1"/>
    <xf numFmtId="43" fontId="8" fillId="9" borderId="1" xfId="0" applyNumberFormat="1" applyFont="1" applyFill="1" applyBorder="1"/>
    <xf numFmtId="43" fontId="5" fillId="0" borderId="1" xfId="1" applyFont="1" applyBorder="1"/>
    <xf numFmtId="43" fontId="18" fillId="0" borderId="1" xfId="1" applyFont="1" applyBorder="1"/>
    <xf numFmtId="43" fontId="12" fillId="0" borderId="1" xfId="1" applyFont="1" applyBorder="1"/>
    <xf numFmtId="43" fontId="33" fillId="0" borderId="1" xfId="1" applyFont="1" applyBorder="1"/>
    <xf numFmtId="43" fontId="5" fillId="0" borderId="1" xfId="1" applyFont="1" applyFill="1" applyBorder="1"/>
    <xf numFmtId="43" fontId="34" fillId="0" borderId="1" xfId="1" applyFont="1" applyFill="1" applyBorder="1"/>
    <xf numFmtId="43" fontId="5" fillId="2" borderId="1" xfId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7" fillId="0" borderId="0" xfId="0" applyFont="1"/>
    <xf numFmtId="0" fontId="8" fillId="0" borderId="1" xfId="0" applyFont="1" applyBorder="1" applyAlignment="1">
      <alignment vertical="center"/>
    </xf>
    <xf numFmtId="0" fontId="40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/>
    <xf numFmtId="0" fontId="41" fillId="0" borderId="0" xfId="0" applyFont="1"/>
    <xf numFmtId="0" fontId="40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44" fontId="5" fillId="0" borderId="1" xfId="2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17" borderId="1" xfId="0" applyFont="1" applyFill="1" applyBorder="1" applyAlignment="1">
      <alignment vertical="center"/>
    </xf>
    <xf numFmtId="0" fontId="8" fillId="17" borderId="1" xfId="0" applyFont="1" applyFill="1" applyBorder="1" applyAlignment="1">
      <alignment vertical="center"/>
    </xf>
    <xf numFmtId="0" fontId="8" fillId="18" borderId="1" xfId="0" applyFont="1" applyFill="1" applyBorder="1" applyAlignment="1">
      <alignment vertical="center"/>
    </xf>
    <xf numFmtId="0" fontId="8" fillId="18" borderId="1" xfId="0" applyFont="1" applyFill="1" applyBorder="1" applyAlignment="1">
      <alignment horizontal="center" vertical="center" wrapText="1"/>
    </xf>
    <xf numFmtId="8" fontId="5" fillId="0" borderId="1" xfId="0" applyNumberFormat="1" applyFont="1" applyBorder="1" applyAlignment="1">
      <alignment vertical="center"/>
    </xf>
    <xf numFmtId="0" fontId="8" fillId="16" borderId="1" xfId="0" applyFont="1" applyFill="1" applyBorder="1" applyAlignment="1">
      <alignment horizontal="center" vertical="center" wrapText="1"/>
    </xf>
    <xf numFmtId="8" fontId="8" fillId="16" borderId="1" xfId="0" applyNumberFormat="1" applyFont="1" applyFill="1" applyBorder="1" applyAlignment="1">
      <alignment vertical="center"/>
    </xf>
    <xf numFmtId="8" fontId="8" fillId="17" borderId="1" xfId="0" applyNumberFormat="1" applyFont="1" applyFill="1" applyBorder="1" applyAlignment="1">
      <alignment vertical="center"/>
    </xf>
    <xf numFmtId="8" fontId="5" fillId="15" borderId="1" xfId="0" applyNumberFormat="1" applyFont="1" applyFill="1" applyBorder="1" applyAlignment="1">
      <alignment vertical="center"/>
    </xf>
    <xf numFmtId="0" fontId="5" fillId="15" borderId="1" xfId="0" applyFont="1" applyFill="1" applyBorder="1" applyAlignment="1">
      <alignment horizontal="left" vertical="center" wrapText="1"/>
    </xf>
    <xf numFmtId="0" fontId="8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44" fontId="8" fillId="6" borderId="1" xfId="2" applyFont="1" applyFill="1" applyBorder="1" applyAlignment="1" applyProtection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left" vertical="center" wrapText="1"/>
    </xf>
    <xf numFmtId="44" fontId="8" fillId="17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44" fillId="0" borderId="1" xfId="2" applyFont="1" applyFill="1" applyBorder="1" applyAlignment="1" applyProtection="1">
      <alignment horizontal="left" vertical="center" wrapText="1"/>
    </xf>
    <xf numFmtId="0" fontId="8" fillId="17" borderId="1" xfId="0" applyFont="1" applyFill="1" applyBorder="1" applyAlignment="1">
      <alignment horizontal="left" vertical="center"/>
    </xf>
    <xf numFmtId="0" fontId="8" fillId="17" borderId="1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vertical="center"/>
    </xf>
    <xf numFmtId="8" fontId="6" fillId="9" borderId="1" xfId="2" applyNumberFormat="1" applyFont="1" applyFill="1" applyBorder="1" applyAlignment="1" applyProtection="1">
      <alignment horizontal="right" vertical="center" wrapText="1"/>
    </xf>
    <xf numFmtId="8" fontId="5" fillId="2" borderId="1" xfId="0" applyNumberFormat="1" applyFont="1" applyFill="1" applyBorder="1" applyAlignment="1">
      <alignment vertical="center"/>
    </xf>
    <xf numFmtId="43" fontId="5" fillId="2" borderId="1" xfId="1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8" fontId="0" fillId="0" borderId="0" xfId="0" applyNumberFormat="1"/>
    <xf numFmtId="8" fontId="46" fillId="0" borderId="0" xfId="0" applyNumberFormat="1" applyFont="1"/>
    <xf numFmtId="8" fontId="47" fillId="0" borderId="0" xfId="0" applyNumberFormat="1" applyFont="1"/>
    <xf numFmtId="8" fontId="12" fillId="0" borderId="1" xfId="2" applyNumberFormat="1" applyFont="1" applyFill="1" applyBorder="1" applyAlignment="1" applyProtection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29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4" fontId="8" fillId="10" borderId="1" xfId="2" applyFont="1" applyFill="1" applyBorder="1" applyAlignment="1" applyProtection="1">
      <alignment horizontal="right" vertical="center" wrapText="1"/>
    </xf>
    <xf numFmtId="0" fontId="5" fillId="15" borderId="13" xfId="0" applyFont="1" applyFill="1" applyBorder="1" applyAlignment="1">
      <alignment horizontal="right" vertical="center" wrapText="1"/>
    </xf>
    <xf numFmtId="44" fontId="8" fillId="4" borderId="1" xfId="2" applyFont="1" applyFill="1" applyBorder="1" applyAlignment="1" applyProtection="1">
      <alignment horizontal="right" vertical="center" wrapText="1"/>
    </xf>
    <xf numFmtId="44" fontId="5" fillId="0" borderId="1" xfId="2" applyFont="1" applyFill="1" applyBorder="1" applyAlignment="1" applyProtection="1">
      <alignment horizontal="right" vertical="center" wrapText="1"/>
    </xf>
    <xf numFmtId="0" fontId="5" fillId="15" borderId="2" xfId="0" applyFont="1" applyFill="1" applyBorder="1" applyAlignment="1">
      <alignment horizontal="right" vertical="center" wrapText="1"/>
    </xf>
    <xf numFmtId="44" fontId="5" fillId="2" borderId="1" xfId="2" applyFont="1" applyFill="1" applyBorder="1" applyAlignment="1" applyProtection="1">
      <alignment horizontal="right" vertical="center" wrapText="1"/>
    </xf>
    <xf numFmtId="44" fontId="8" fillId="3" borderId="1" xfId="2" applyFont="1" applyFill="1" applyBorder="1" applyAlignment="1" applyProtection="1">
      <alignment horizontal="right" vertical="center" wrapText="1"/>
    </xf>
    <xf numFmtId="44" fontId="4" fillId="2" borderId="1" xfId="2" applyFont="1" applyFill="1" applyBorder="1" applyAlignment="1" applyProtection="1">
      <alignment horizontal="right" vertical="center" wrapText="1"/>
    </xf>
    <xf numFmtId="44" fontId="4" fillId="0" borderId="1" xfId="2" applyFont="1" applyBorder="1" applyAlignment="1" applyProtection="1">
      <alignment horizontal="right" vertical="center" wrapText="1"/>
    </xf>
    <xf numFmtId="44" fontId="4" fillId="3" borderId="1" xfId="2" applyFont="1" applyFill="1" applyBorder="1" applyAlignment="1" applyProtection="1">
      <alignment horizontal="right" vertical="center" wrapText="1"/>
    </xf>
    <xf numFmtId="44" fontId="25" fillId="9" borderId="1" xfId="2" applyFont="1" applyFill="1" applyBorder="1" applyAlignment="1" applyProtection="1">
      <alignment horizontal="right" vertical="center" wrapText="1"/>
    </xf>
    <xf numFmtId="8" fontId="25" fillId="2" borderId="1" xfId="2" applyNumberFormat="1" applyFont="1" applyFill="1" applyBorder="1" applyAlignment="1" applyProtection="1">
      <alignment horizontal="right" vertical="center" wrapText="1"/>
    </xf>
    <xf numFmtId="8" fontId="25" fillId="9" borderId="1" xfId="2" applyNumberFormat="1" applyFont="1" applyFill="1" applyBorder="1" applyAlignment="1" applyProtection="1">
      <alignment horizontal="right" vertical="center" wrapText="1"/>
    </xf>
    <xf numFmtId="44" fontId="4" fillId="0" borderId="0" xfId="2" applyFont="1" applyBorder="1" applyAlignment="1" applyProtection="1">
      <alignment horizontal="right" vertical="center" wrapText="1"/>
    </xf>
    <xf numFmtId="44" fontId="4" fillId="0" borderId="0" xfId="2" applyFont="1" applyAlignment="1" applyProtection="1">
      <alignment horizontal="right" vertical="center" wrapText="1"/>
    </xf>
    <xf numFmtId="44" fontId="3" fillId="2" borderId="1" xfId="2" applyFont="1" applyFill="1" applyBorder="1" applyAlignment="1" applyProtection="1">
      <alignment horizontal="right" vertical="center" wrapText="1"/>
    </xf>
    <xf numFmtId="44" fontId="3" fillId="2" borderId="1" xfId="2" applyFont="1" applyFill="1" applyBorder="1" applyAlignment="1">
      <alignment horizontal="right" vertical="center" wrapText="1"/>
    </xf>
    <xf numFmtId="44" fontId="6" fillId="2" borderId="1" xfId="2" applyFont="1" applyFill="1" applyBorder="1" applyAlignment="1" applyProtection="1">
      <alignment horizontal="right" vertical="center" wrapText="1"/>
    </xf>
    <xf numFmtId="44" fontId="3" fillId="0" borderId="1" xfId="2" applyFont="1" applyBorder="1" applyAlignment="1" applyProtection="1">
      <alignment horizontal="right" vertical="center" wrapText="1"/>
    </xf>
    <xf numFmtId="44" fontId="4" fillId="2" borderId="0" xfId="2" applyFont="1" applyFill="1" applyAlignment="1" applyProtection="1">
      <alignment horizontal="right" vertical="center" wrapText="1"/>
    </xf>
    <xf numFmtId="44" fontId="3" fillId="9" borderId="1" xfId="2" applyFont="1" applyFill="1" applyBorder="1" applyAlignment="1">
      <alignment horizontal="right" vertical="center" wrapText="1"/>
    </xf>
    <xf numFmtId="44" fontId="4" fillId="0" borderId="0" xfId="2" applyFont="1" applyFill="1" applyBorder="1" applyAlignment="1" applyProtection="1">
      <alignment horizontal="right" vertical="center" wrapText="1"/>
    </xf>
    <xf numFmtId="44" fontId="4" fillId="0" borderId="0" xfId="2" applyFont="1" applyFill="1" applyAlignment="1" applyProtection="1">
      <alignment horizontal="right" vertical="center" wrapText="1"/>
    </xf>
    <xf numFmtId="44" fontId="8" fillId="7" borderId="1" xfId="2" applyFont="1" applyFill="1" applyBorder="1" applyAlignment="1" applyProtection="1">
      <alignment horizontal="right" vertical="center" wrapText="1"/>
    </xf>
    <xf numFmtId="44" fontId="4" fillId="0" borderId="14" xfId="2" applyFont="1" applyFill="1" applyBorder="1" applyAlignment="1" applyProtection="1">
      <alignment horizontal="right" vertical="center" wrapText="1"/>
    </xf>
    <xf numFmtId="44" fontId="4" fillId="0" borderId="14" xfId="2" applyFont="1" applyBorder="1" applyAlignment="1" applyProtection="1">
      <alignment horizontal="right" vertical="center" wrapText="1"/>
    </xf>
    <xf numFmtId="0" fontId="8" fillId="6" borderId="1" xfId="0" applyFont="1" applyFill="1" applyBorder="1" applyAlignment="1">
      <alignment horizontal="center" vertical="center"/>
    </xf>
    <xf numFmtId="44" fontId="8" fillId="6" borderId="1" xfId="2" applyFont="1" applyFill="1" applyBorder="1" applyAlignment="1" applyProtection="1">
      <alignment horizontal="center" vertical="center"/>
    </xf>
    <xf numFmtId="0" fontId="8" fillId="16" borderId="6" xfId="0" applyFont="1" applyFill="1" applyBorder="1" applyAlignment="1">
      <alignment horizontal="center" vertical="center" wrapText="1"/>
    </xf>
    <xf numFmtId="44" fontId="5" fillId="15" borderId="13" xfId="0" applyNumberFormat="1" applyFont="1" applyFill="1" applyBorder="1" applyAlignment="1">
      <alignment horizontal="right" vertical="center" wrapText="1"/>
    </xf>
    <xf numFmtId="44" fontId="5" fillId="15" borderId="6" xfId="0" applyNumberFormat="1" applyFont="1" applyFill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right" vertical="center" wrapText="1"/>
    </xf>
    <xf numFmtId="44" fontId="5" fillId="0" borderId="13" xfId="0" applyNumberFormat="1" applyFont="1" applyBorder="1" applyAlignment="1">
      <alignment horizontal="right" vertical="center" wrapText="1"/>
    </xf>
    <xf numFmtId="44" fontId="5" fillId="15" borderId="2" xfId="0" applyNumberFormat="1" applyFont="1" applyFill="1" applyBorder="1" applyAlignment="1">
      <alignment horizontal="right" vertical="center" wrapText="1"/>
    </xf>
    <xf numFmtId="44" fontId="5" fillId="0" borderId="1" xfId="0" applyNumberFormat="1" applyFont="1" applyBorder="1" applyAlignment="1">
      <alignment horizontal="right" vertical="center" wrapText="1"/>
    </xf>
    <xf numFmtId="44" fontId="5" fillId="0" borderId="6" xfId="0" applyNumberFormat="1" applyFont="1" applyBorder="1" applyAlignment="1">
      <alignment horizontal="right" vertical="center" wrapText="1"/>
    </xf>
    <xf numFmtId="44" fontId="5" fillId="0" borderId="13" xfId="0" applyNumberFormat="1" applyFont="1" applyBorder="1" applyAlignment="1">
      <alignment horizontal="right" vertical="center"/>
    </xf>
    <xf numFmtId="44" fontId="5" fillId="0" borderId="1" xfId="2" applyFont="1" applyBorder="1" applyAlignment="1" applyProtection="1">
      <alignment horizontal="right" vertical="center" wrapText="1"/>
    </xf>
    <xf numFmtId="0" fontId="5" fillId="15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16" borderId="6" xfId="0" applyFont="1" applyFill="1" applyBorder="1" applyAlignment="1">
      <alignment vertical="center" wrapText="1"/>
    </xf>
    <xf numFmtId="0" fontId="8" fillId="2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165" fontId="5" fillId="17" borderId="1" xfId="0" applyNumberFormat="1" applyFont="1" applyFill="1" applyBorder="1" applyAlignment="1">
      <alignment vertical="center"/>
    </xf>
    <xf numFmtId="165" fontId="8" fillId="18" borderId="1" xfId="0" applyNumberFormat="1" applyFont="1" applyFill="1" applyBorder="1" applyAlignment="1">
      <alignment horizontal="center" vertical="center" wrapText="1"/>
    </xf>
    <xf numFmtId="165" fontId="44" fillId="0" borderId="1" xfId="2" applyNumberFormat="1" applyFont="1" applyFill="1" applyBorder="1" applyAlignment="1" applyProtection="1">
      <alignment horizontal="left" vertical="center" wrapText="1"/>
    </xf>
    <xf numFmtId="165" fontId="12" fillId="0" borderId="1" xfId="2" applyNumberFormat="1" applyFont="1" applyFill="1" applyBorder="1" applyAlignment="1" applyProtection="1">
      <alignment horizontal="left" vertical="center" wrapText="1"/>
    </xf>
    <xf numFmtId="165" fontId="8" fillId="16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5" fillId="2" borderId="1" xfId="2" applyNumberFormat="1" applyFont="1" applyFill="1" applyBorder="1" applyAlignment="1">
      <alignment horizontal="left" vertical="center" wrapText="1"/>
    </xf>
    <xf numFmtId="165" fontId="8" fillId="17" borderId="1" xfId="0" applyNumberFormat="1" applyFont="1" applyFill="1" applyBorder="1" applyAlignment="1">
      <alignment vertical="center"/>
    </xf>
    <xf numFmtId="165" fontId="5" fillId="15" borderId="1" xfId="0" applyNumberFormat="1" applyFont="1" applyFill="1" applyBorder="1" applyAlignment="1">
      <alignment vertical="center"/>
    </xf>
    <xf numFmtId="165" fontId="0" fillId="0" borderId="0" xfId="0" applyNumberFormat="1"/>
    <xf numFmtId="165" fontId="5" fillId="20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17" borderId="1" xfId="0" applyNumberFormat="1" applyFont="1" applyFill="1" applyBorder="1" applyAlignment="1">
      <alignment horizontal="right" vertical="center"/>
    </xf>
    <xf numFmtId="165" fontId="8" fillId="18" borderId="1" xfId="0" applyNumberFormat="1" applyFont="1" applyFill="1" applyBorder="1" applyAlignment="1">
      <alignment horizontal="right" vertical="center" wrapText="1"/>
    </xf>
    <xf numFmtId="165" fontId="44" fillId="0" borderId="1" xfId="2" applyNumberFormat="1" applyFont="1" applyFill="1" applyBorder="1" applyAlignment="1" applyProtection="1">
      <alignment horizontal="right" vertical="center" wrapText="1"/>
    </xf>
    <xf numFmtId="165" fontId="12" fillId="0" borderId="1" xfId="2" applyNumberFormat="1" applyFont="1" applyFill="1" applyBorder="1" applyAlignment="1" applyProtection="1">
      <alignment horizontal="right" vertical="center" wrapText="1"/>
    </xf>
    <xf numFmtId="165" fontId="8" fillId="16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center" wrapText="1"/>
    </xf>
    <xf numFmtId="165" fontId="5" fillId="2" borderId="1" xfId="2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8" fillId="17" borderId="1" xfId="0" applyNumberFormat="1" applyFont="1" applyFill="1" applyBorder="1" applyAlignment="1">
      <alignment horizontal="right" vertical="center"/>
    </xf>
    <xf numFmtId="165" fontId="5" fillId="15" borderId="1" xfId="0" applyNumberFormat="1" applyFont="1" applyFill="1" applyBorder="1" applyAlignment="1">
      <alignment horizontal="right" vertical="center"/>
    </xf>
    <xf numFmtId="165" fontId="8" fillId="19" borderId="1" xfId="0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5" fillId="20" borderId="1" xfId="0" applyFont="1" applyFill="1" applyBorder="1" applyAlignment="1">
      <alignment vertical="center" wrapText="1"/>
    </xf>
    <xf numFmtId="44" fontId="4" fillId="0" borderId="1" xfId="2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5" fillId="15" borderId="15" xfId="0" applyNumberFormat="1" applyFont="1" applyFill="1" applyBorder="1" applyAlignment="1">
      <alignment horizontal="right" vertical="center" wrapText="1"/>
    </xf>
    <xf numFmtId="44" fontId="5" fillId="15" borderId="16" xfId="0" applyNumberFormat="1" applyFont="1" applyFill="1" applyBorder="1" applyAlignment="1">
      <alignment horizontal="right" vertical="center" wrapText="1"/>
    </xf>
    <xf numFmtId="44" fontId="8" fillId="4" borderId="1" xfId="2" applyFont="1" applyFill="1" applyBorder="1" applyAlignment="1">
      <alignment horizontal="right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44" fontId="8" fillId="7" borderId="1" xfId="0" applyNumberFormat="1" applyFont="1" applyFill="1" applyBorder="1" applyAlignment="1">
      <alignment horizontal="center" vertical="center" wrapText="1"/>
    </xf>
    <xf numFmtId="165" fontId="8" fillId="21" borderId="1" xfId="0" applyNumberFormat="1" applyFont="1" applyFill="1" applyBorder="1" applyAlignment="1">
      <alignment vertical="center"/>
    </xf>
    <xf numFmtId="8" fontId="3" fillId="2" borderId="1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4" fontId="4" fillId="2" borderId="6" xfId="2" applyFont="1" applyFill="1" applyBorder="1" applyAlignment="1" applyProtection="1">
      <alignment horizontal="right" vertical="center" wrapText="1"/>
    </xf>
    <xf numFmtId="8" fontId="8" fillId="3" borderId="1" xfId="2" applyNumberFormat="1" applyFont="1" applyFill="1" applyBorder="1" applyAlignment="1" applyProtection="1">
      <alignment horizontal="right" vertical="center" wrapText="1"/>
    </xf>
    <xf numFmtId="0" fontId="37" fillId="3" borderId="14" xfId="0" applyFont="1" applyFill="1" applyBorder="1"/>
    <xf numFmtId="0" fontId="37" fillId="3" borderId="14" xfId="0" applyFont="1" applyFill="1" applyBorder="1" applyAlignment="1">
      <alignment horizontal="center"/>
    </xf>
    <xf numFmtId="0" fontId="37" fillId="0" borderId="14" xfId="0" applyFont="1" applyBorder="1"/>
    <xf numFmtId="44" fontId="37" fillId="0" borderId="14" xfId="0" applyNumberFormat="1" applyFont="1" applyBorder="1" applyAlignment="1">
      <alignment horizontal="center"/>
    </xf>
    <xf numFmtId="44" fontId="37" fillId="3" borderId="14" xfId="0" applyNumberFormat="1" applyFont="1" applyFill="1" applyBorder="1" applyAlignment="1">
      <alignment horizontal="center"/>
    </xf>
    <xf numFmtId="0" fontId="37" fillId="9" borderId="14" xfId="0" applyFont="1" applyFill="1" applyBorder="1"/>
    <xf numFmtId="0" fontId="37" fillId="9" borderId="14" xfId="0" applyFont="1" applyFill="1" applyBorder="1" applyAlignment="1">
      <alignment horizontal="center"/>
    </xf>
    <xf numFmtId="44" fontId="0" fillId="0" borderId="0" xfId="0" applyNumberFormat="1"/>
    <xf numFmtId="44" fontId="37" fillId="0" borderId="14" xfId="0" applyNumberFormat="1" applyFont="1" applyBorder="1"/>
    <xf numFmtId="8" fontId="5" fillId="0" borderId="2" xfId="0" applyNumberFormat="1" applyFont="1" applyBorder="1" applyAlignment="1">
      <alignment horizontal="right" vertical="center" wrapText="1"/>
    </xf>
    <xf numFmtId="44" fontId="37" fillId="9" borderId="14" xfId="0" applyNumberFormat="1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4" fontId="49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 wrapText="1"/>
    </xf>
    <xf numFmtId="0" fontId="51" fillId="2" borderId="0" xfId="0" applyFont="1" applyFill="1" applyAlignment="1">
      <alignment horizontal="left" vertical="center" wrapText="1"/>
    </xf>
    <xf numFmtId="0" fontId="51" fillId="2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165" fontId="53" fillId="0" borderId="1" xfId="0" applyNumberFormat="1" applyFont="1" applyBorder="1" applyAlignment="1">
      <alignment horizontal="right" vertical="center"/>
    </xf>
    <xf numFmtId="8" fontId="53" fillId="0" borderId="1" xfId="0" applyNumberFormat="1" applyFont="1" applyBorder="1" applyAlignment="1">
      <alignment vertical="center"/>
    </xf>
    <xf numFmtId="0" fontId="50" fillId="0" borderId="0" xfId="0" applyFont="1" applyAlignment="1">
      <alignment horizontal="center" vertical="center" wrapText="1"/>
    </xf>
    <xf numFmtId="44" fontId="50" fillId="0" borderId="13" xfId="0" applyNumberFormat="1" applyFont="1" applyBorder="1" applyAlignment="1">
      <alignment horizontal="right" vertical="center" wrapText="1"/>
    </xf>
    <xf numFmtId="44" fontId="33" fillId="0" borderId="13" xfId="0" applyNumberFormat="1" applyFont="1" applyBorder="1" applyAlignment="1">
      <alignment horizontal="right" vertical="center" wrapText="1"/>
    </xf>
    <xf numFmtId="44" fontId="8" fillId="6" borderId="17" xfId="2" applyFont="1" applyFill="1" applyBorder="1" applyAlignment="1" applyProtection="1">
      <alignment horizontal="center" vertical="center" wrapText="1"/>
    </xf>
    <xf numFmtId="44" fontId="53" fillId="0" borderId="1" xfId="2" applyFont="1" applyFill="1" applyBorder="1" applyAlignment="1" applyProtection="1">
      <alignment horizontal="left" vertical="center" wrapText="1"/>
    </xf>
    <xf numFmtId="44" fontId="5" fillId="0" borderId="14" xfId="0" applyNumberFormat="1" applyFont="1" applyBorder="1" applyAlignment="1">
      <alignment horizontal="right" vertical="center"/>
    </xf>
    <xf numFmtId="8" fontId="54" fillId="0" borderId="18" xfId="0" applyNumberFormat="1" applyFont="1" applyBorder="1" applyAlignment="1">
      <alignment vertical="center"/>
    </xf>
    <xf numFmtId="8" fontId="54" fillId="0" borderId="14" xfId="0" applyNumberFormat="1" applyFont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5" fillId="0" borderId="14" xfId="0" applyNumberFormat="1" applyFont="1" applyBorder="1" applyAlignment="1">
      <alignment horizontal="right" vertical="center" wrapText="1"/>
    </xf>
    <xf numFmtId="44" fontId="5" fillId="0" borderId="14" xfId="2" applyFont="1" applyBorder="1" applyAlignment="1" applyProtection="1">
      <alignment horizontal="right" vertical="center" wrapText="1"/>
    </xf>
    <xf numFmtId="44" fontId="5" fillId="2" borderId="13" xfId="0" applyNumberFormat="1" applyFont="1" applyFill="1" applyBorder="1" applyAlignment="1">
      <alignment horizontal="right" vertical="center" wrapText="1"/>
    </xf>
    <xf numFmtId="44" fontId="5" fillId="2" borderId="2" xfId="0" applyNumberFormat="1" applyFont="1" applyFill="1" applyBorder="1" applyAlignment="1">
      <alignment horizontal="right" vertical="center" wrapText="1"/>
    </xf>
    <xf numFmtId="44" fontId="5" fillId="2" borderId="14" xfId="0" applyNumberFormat="1" applyFont="1" applyFill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15" borderId="1" xfId="0" applyFont="1" applyFill="1" applyBorder="1" applyAlignment="1">
      <alignment vertical="center" wrapText="1"/>
    </xf>
    <xf numFmtId="3" fontId="5" fillId="2" borderId="0" xfId="0" applyNumberFormat="1" applyFont="1" applyFill="1" applyAlignment="1">
      <alignment horizontal="left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44" fontId="5" fillId="0" borderId="1" xfId="2" applyFont="1" applyBorder="1" applyAlignment="1">
      <alignment horizontal="right" vertical="center" wrapText="1"/>
    </xf>
    <xf numFmtId="8" fontId="5" fillId="15" borderId="17" xfId="0" applyNumberFormat="1" applyFont="1" applyFill="1" applyBorder="1" applyAlignment="1">
      <alignment wrapText="1"/>
    </xf>
    <xf numFmtId="8" fontId="5" fillId="15" borderId="20" xfId="0" applyNumberFormat="1" applyFont="1" applyFill="1" applyBorder="1" applyAlignment="1">
      <alignment wrapText="1"/>
    </xf>
    <xf numFmtId="44" fontId="5" fillId="0" borderId="16" xfId="0" applyNumberFormat="1" applyFont="1" applyBorder="1" applyAlignment="1">
      <alignment horizontal="right" vertical="center" wrapText="1"/>
    </xf>
    <xf numFmtId="0" fontId="55" fillId="0" borderId="14" xfId="0" applyFont="1" applyBorder="1"/>
    <xf numFmtId="4" fontId="55" fillId="0" borderId="14" xfId="0" applyNumberFormat="1" applyFont="1" applyBorder="1"/>
    <xf numFmtId="8" fontId="5" fillId="15" borderId="1" xfId="0" applyNumberFormat="1" applyFont="1" applyFill="1" applyBorder="1" applyAlignment="1">
      <alignment wrapText="1"/>
    </xf>
    <xf numFmtId="8" fontId="5" fillId="15" borderId="6" xfId="0" applyNumberFormat="1" applyFont="1" applyFill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4" fontId="5" fillId="0" borderId="0" xfId="2" applyFont="1" applyAlignment="1" applyProtection="1">
      <alignment horizontal="right" vertical="center" wrapText="1"/>
    </xf>
    <xf numFmtId="44" fontId="5" fillId="15" borderId="1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Alignment="1">
      <alignment horizontal="left" vertical="center" wrapText="1"/>
    </xf>
    <xf numFmtId="10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readingOrder="1"/>
    </xf>
    <xf numFmtId="8" fontId="5" fillId="15" borderId="2" xfId="0" applyNumberFormat="1" applyFont="1" applyFill="1" applyBorder="1" applyAlignment="1">
      <alignment horizontal="right" vertical="center" wrapText="1"/>
    </xf>
    <xf numFmtId="44" fontId="5" fillId="15" borderId="2" xfId="0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4" fillId="0" borderId="18" xfId="0" applyFont="1" applyBorder="1" applyAlignment="1">
      <alignment vertical="center"/>
    </xf>
    <xf numFmtId="0" fontId="54" fillId="0" borderId="14" xfId="0" applyFont="1" applyBorder="1" applyAlignment="1">
      <alignment vertical="center"/>
    </xf>
    <xf numFmtId="0" fontId="54" fillId="0" borderId="19" xfId="0" applyFont="1" applyBorder="1" applyAlignment="1">
      <alignment vertical="center"/>
    </xf>
    <xf numFmtId="44" fontId="5" fillId="2" borderId="14" xfId="2" applyFont="1" applyFill="1" applyBorder="1" applyAlignment="1">
      <alignment horizontal="left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5" fillId="0" borderId="1" xfId="0" applyFont="1" applyBorder="1"/>
    <xf numFmtId="0" fontId="55" fillId="0" borderId="6" xfId="0" applyFont="1" applyBorder="1"/>
    <xf numFmtId="9" fontId="5" fillId="0" borderId="0" xfId="6" applyFont="1" applyAlignment="1">
      <alignment horizontal="left" vertical="center" wrapText="1"/>
    </xf>
    <xf numFmtId="9" fontId="8" fillId="0" borderId="0" xfId="6" applyFont="1" applyAlignment="1">
      <alignment horizontal="left" vertical="center" wrapText="1"/>
    </xf>
    <xf numFmtId="10" fontId="8" fillId="2" borderId="0" xfId="6" applyNumberFormat="1" applyFont="1" applyFill="1" applyAlignment="1">
      <alignment horizontal="left" vertical="center" wrapText="1"/>
    </xf>
    <xf numFmtId="10" fontId="8" fillId="0" borderId="0" xfId="6" applyNumberFormat="1" applyFont="1" applyAlignment="1">
      <alignment horizontal="left" vertical="center" wrapText="1"/>
    </xf>
    <xf numFmtId="44" fontId="8" fillId="16" borderId="1" xfId="0" applyNumberFormat="1" applyFont="1" applyFill="1" applyBorder="1" applyAlignment="1">
      <alignment vertical="center"/>
    </xf>
    <xf numFmtId="8" fontId="8" fillId="4" borderId="2" xfId="2" applyNumberFormat="1" applyFont="1" applyFill="1" applyBorder="1" applyAlignment="1" applyProtection="1">
      <alignment horizontal="right" vertical="center" wrapText="1"/>
    </xf>
    <xf numFmtId="8" fontId="5" fillId="15" borderId="6" xfId="0" applyNumberFormat="1" applyFont="1" applyFill="1" applyBorder="1" applyAlignment="1">
      <alignment horizontal="right" vertical="center" wrapText="1"/>
    </xf>
    <xf numFmtId="8" fontId="8" fillId="4" borderId="1" xfId="2" applyNumberFormat="1" applyFont="1" applyFill="1" applyBorder="1" applyAlignment="1" applyProtection="1">
      <alignment horizontal="right" vertical="center" wrapText="1"/>
    </xf>
    <xf numFmtId="8" fontId="37" fillId="0" borderId="14" xfId="0" applyNumberFormat="1" applyFont="1" applyBorder="1"/>
    <xf numFmtId="8" fontId="25" fillId="0" borderId="1" xfId="2" applyNumberFormat="1" applyFont="1" applyFill="1" applyBorder="1" applyAlignment="1" applyProtection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44" fontId="4" fillId="0" borderId="0" xfId="0" applyNumberFormat="1" applyFont="1" applyAlignment="1">
      <alignment horizontal="left" vertical="center" wrapText="1"/>
    </xf>
    <xf numFmtId="10" fontId="4" fillId="0" borderId="0" xfId="0" applyNumberFormat="1" applyFont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45" fillId="16" borderId="3" xfId="0" applyFont="1" applyFill="1" applyBorder="1" applyAlignment="1">
      <alignment horizontal="center" vertical="center"/>
    </xf>
    <xf numFmtId="0" fontId="45" fillId="16" borderId="8" xfId="0" applyFont="1" applyFill="1" applyBorder="1" applyAlignment="1">
      <alignment horizontal="center" vertical="center"/>
    </xf>
    <xf numFmtId="0" fontId="45" fillId="16" borderId="6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 wrapText="1"/>
    </xf>
    <xf numFmtId="44" fontId="36" fillId="9" borderId="3" xfId="2" applyFont="1" applyFill="1" applyBorder="1" applyAlignment="1">
      <alignment horizontal="right" vertical="center" wrapText="1"/>
    </xf>
    <xf numFmtId="44" fontId="36" fillId="9" borderId="8" xfId="2" applyFont="1" applyFill="1" applyBorder="1" applyAlignment="1">
      <alignment horizontal="right" vertical="center" wrapText="1"/>
    </xf>
    <xf numFmtId="44" fontId="36" fillId="9" borderId="6" xfId="2" applyFont="1" applyFill="1" applyBorder="1" applyAlignment="1">
      <alignment horizontal="right" vertical="center" wrapText="1"/>
    </xf>
    <xf numFmtId="44" fontId="3" fillId="2" borderId="3" xfId="2" applyFont="1" applyFill="1" applyBorder="1" applyAlignment="1">
      <alignment horizontal="right" vertical="center" wrapText="1"/>
    </xf>
    <xf numFmtId="44" fontId="3" fillId="2" borderId="8" xfId="2" applyFont="1" applyFill="1" applyBorder="1" applyAlignment="1">
      <alignment horizontal="right" vertical="center" wrapText="1"/>
    </xf>
    <xf numFmtId="44" fontId="3" fillId="2" borderId="6" xfId="2" applyFont="1" applyFill="1" applyBorder="1" applyAlignment="1">
      <alignment horizontal="right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9" borderId="3" xfId="2" applyFont="1" applyFill="1" applyBorder="1" applyAlignment="1">
      <alignment horizontal="right" vertical="center" wrapText="1"/>
    </xf>
    <xf numFmtId="44" fontId="3" fillId="9" borderId="8" xfId="2" applyFont="1" applyFill="1" applyBorder="1" applyAlignment="1">
      <alignment horizontal="right" vertical="center" wrapText="1"/>
    </xf>
    <xf numFmtId="44" fontId="3" fillId="9" borderId="6" xfId="2" applyFont="1" applyFill="1" applyBorder="1" applyAlignment="1">
      <alignment horizontal="right" vertical="center" wrapText="1"/>
    </xf>
    <xf numFmtId="44" fontId="3" fillId="0" borderId="3" xfId="2" applyFont="1" applyBorder="1" applyAlignment="1">
      <alignment horizontal="right" vertical="center" wrapText="1"/>
    </xf>
    <xf numFmtId="44" fontId="3" fillId="0" borderId="8" xfId="2" applyFont="1" applyBorder="1" applyAlignment="1">
      <alignment horizontal="right" vertical="center" wrapText="1"/>
    </xf>
    <xf numFmtId="44" fontId="3" fillId="0" borderId="6" xfId="2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7" fillId="9" borderId="14" xfId="0" applyFont="1" applyFill="1" applyBorder="1" applyAlignment="1">
      <alignment horizontal="center" wrapText="1"/>
    </xf>
    <xf numFmtId="0" fontId="37" fillId="3" borderId="14" xfId="0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8" fontId="5" fillId="0" borderId="1" xfId="2" applyNumberFormat="1" applyFont="1" applyFill="1" applyBorder="1" applyAlignment="1" applyProtection="1">
      <alignment horizontal="left" vertical="center" wrapText="1"/>
    </xf>
  </cellXfs>
  <cellStyles count="7">
    <cellStyle name="Comma 2" xfId="4" xr:uid="{00000000-0005-0000-0000-000000000000}"/>
    <cellStyle name="Moeda" xfId="2" builtinId="4"/>
    <cellStyle name="Moeda 2" xfId="5" xr:uid="{00000000-0005-0000-0000-000002000000}"/>
    <cellStyle name="Normal" xfId="0" builtinId="0"/>
    <cellStyle name="Normal 2" xfId="3" xr:uid="{00000000-0005-0000-0000-000004000000}"/>
    <cellStyle name="Porcentagem" xfId="6" builtinId="5"/>
    <cellStyle name="Vírgula" xfId="1" builtinId="3"/>
  </cellStyles>
  <dxfs count="10">
    <dxf>
      <font>
        <color rgb="FF9C0006"/>
      </font>
    </dxf>
    <dxf>
      <font>
        <color rgb="FFFF0000"/>
      </font>
    </dxf>
    <dxf>
      <font>
        <color auto="1"/>
      </font>
    </dxf>
    <dxf>
      <font>
        <strike val="0"/>
        <color auto="1"/>
      </font>
    </dxf>
    <dxf>
      <font>
        <color rgb="FFFF0000"/>
      </font>
    </dxf>
    <dxf>
      <font>
        <strike val="0"/>
        <color auto="1"/>
      </font>
    </dxf>
    <dxf>
      <font>
        <color theme="1"/>
      </font>
    </dxf>
    <dxf>
      <font>
        <strike val="0"/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FF0066"/>
      <color rgb="FFFFADFD"/>
      <color rgb="FFFFB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ury Magalhães Colares" id="{F6FCB349-F98B-4193-9B35-B62E3CF15D67}" userId="S::amaury.colares@prodam.am.gov.br::be522f40-a240-499d-b455-d36077e8fed3" providerId="AD"/>
  <person displayName="Usuário Convidado" id="{7EA23D71-FA7B-4F6D-8DCD-55C0D9DA8F33}" userId="S::urn:spo:anon#9b07f12cea74f6891c4464414f34dc77de1234e38acf282937c9b698e19a3de1::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3" dT="2024-12-04T17:30:29.84" personId="{F6FCB349-F98B-4193-9B35-B62E3CF15D67}" id="{3CFFF14C-1345-429F-BAF9-F9A524E6E352}">
    <text>(Parametrização de Gerador, Termografia, Dimensionamento de Aterramentos Elétricos, Dimensionamento e Instalação de Banco de Capacitores, Elaboração de Laudos, para Instalações Elétricas, Eletricista de Montagem, Operação e Manutenção de Cabine Primária, Eletricista Montador de Painéis Elétricos Industriais, Manutenção e Ensaios de Transformadores, Manutenção Preventiva e Corretiva de Disjuntores de Média Tensão, Montagem de Cabine Primária, Montagem de Cabine Primária, Montagem de Painéis Elétricos, Operação e Manutenção de Cabine Primária, Operação e Manutenção de Grupo Motorgerador a Diesel, Projeto de Painéis de Comandos Elétricos, Proteção em Sistemas Elétricos de Potência, Proteção, Parametrização e Ensaios de Relé de Proteção,Reparador de Motores de Corrente Alternada em Baixa Tensão)</text>
  </threadedComment>
  <threadedComment ref="D217" dT="2024-12-17T20:52:44.24" personId="{7EA23D71-FA7B-4F6D-8DCD-55C0D9DA8F33}" id="{8A3F38E8-72C3-465B-8D37-E3EA5AF5D83D}">
    <text>R$ 6.345,782,95/3/12=176.271,75</text>
  </threadedComment>
  <threadedComment ref="D223" dT="2024-12-17T21:13:20.84" personId="{7EA23D71-FA7B-4F6D-8DCD-55C0D9DA8F33}" id="{B053D7D3-620A-4EB7-8A4A-5DC9C2E8F2A4}">
    <text>Média de não recebimento dos últimos 8 anos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3"/>
  <sheetViews>
    <sheetView topLeftCell="A10" zoomScale="90" zoomScaleNormal="90" workbookViewId="0">
      <pane xSplit="1" topLeftCell="B1" activePane="topRight" state="frozen"/>
      <selection pane="topRight" activeCell="A30" sqref="A30"/>
    </sheetView>
  </sheetViews>
  <sheetFormatPr defaultColWidth="9.140625" defaultRowHeight="13.15"/>
  <cols>
    <col min="1" max="1" width="50" style="47" customWidth="1"/>
    <col min="2" max="2" width="42.7109375" style="9" bestFit="1" customWidth="1"/>
    <col min="3" max="10" width="14.140625" style="1" customWidth="1"/>
    <col min="11" max="12" width="16.28515625" style="1" customWidth="1"/>
    <col min="13" max="14" width="14.7109375" style="1" customWidth="1"/>
    <col min="15" max="15" width="15.7109375" style="1" customWidth="1"/>
    <col min="16" max="16" width="14.140625" style="1" customWidth="1"/>
    <col min="17" max="17" width="15.140625" style="1" customWidth="1"/>
    <col min="18" max="18" width="15.7109375" style="1" customWidth="1"/>
    <col min="19" max="19" width="15" style="1" bestFit="1" customWidth="1"/>
    <col min="20" max="20" width="15.28515625" style="1" customWidth="1"/>
    <col min="21" max="21" width="14.7109375" style="1" customWidth="1"/>
    <col min="22" max="22" width="14.140625" style="1" customWidth="1"/>
    <col min="23" max="23" width="14" style="1" customWidth="1"/>
    <col min="24" max="24" width="14.7109375" style="1" customWidth="1"/>
    <col min="25" max="25" width="14.28515625" style="1" customWidth="1"/>
    <col min="26" max="26" width="14.7109375" style="1" customWidth="1"/>
    <col min="27" max="27" width="16" style="1" customWidth="1"/>
    <col min="28" max="28" width="15" style="1" bestFit="1" customWidth="1"/>
    <col min="29" max="16384" width="9.140625" style="1"/>
  </cols>
  <sheetData>
    <row r="1" spans="1:28" ht="29.25" customHeight="1">
      <c r="A1" s="429" t="s">
        <v>0</v>
      </c>
      <c r="B1" s="430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2"/>
      <c r="AA1" s="432"/>
      <c r="AB1" s="9"/>
    </row>
    <row r="2" spans="1:28" ht="29.25" customHeight="1">
      <c r="A2" s="62" t="s">
        <v>1</v>
      </c>
      <c r="B2" s="45"/>
      <c r="C2" s="433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5"/>
    </row>
    <row r="3" spans="1:28" ht="25.5" customHeight="1">
      <c r="A3" s="63" t="s">
        <v>2</v>
      </c>
      <c r="B3" s="46"/>
      <c r="C3" s="29" t="s">
        <v>3</v>
      </c>
      <c r="D3" s="41">
        <v>43101</v>
      </c>
      <c r="E3" s="29" t="s">
        <v>4</v>
      </c>
      <c r="F3" s="41">
        <v>43132</v>
      </c>
      <c r="G3" s="29" t="s">
        <v>5</v>
      </c>
      <c r="H3" s="41">
        <v>43160</v>
      </c>
      <c r="I3" s="29" t="s">
        <v>6</v>
      </c>
      <c r="J3" s="41">
        <v>43191</v>
      </c>
      <c r="K3" s="29" t="s">
        <v>7</v>
      </c>
      <c r="L3" s="41">
        <v>43221</v>
      </c>
      <c r="M3" s="29" t="s">
        <v>8</v>
      </c>
      <c r="N3" s="41">
        <v>43252</v>
      </c>
      <c r="O3" s="29" t="s">
        <v>9</v>
      </c>
      <c r="P3" s="41">
        <v>43282</v>
      </c>
      <c r="Q3" s="29" t="s">
        <v>10</v>
      </c>
      <c r="R3" s="41">
        <v>43313</v>
      </c>
      <c r="S3" s="10" t="s">
        <v>11</v>
      </c>
      <c r="T3" s="41">
        <v>43344</v>
      </c>
      <c r="U3" s="10" t="s">
        <v>12</v>
      </c>
      <c r="V3" s="41">
        <v>43374</v>
      </c>
      <c r="W3" s="10" t="s">
        <v>13</v>
      </c>
      <c r="X3" s="41">
        <v>43405</v>
      </c>
      <c r="Y3" s="10" t="s">
        <v>14</v>
      </c>
      <c r="Z3" s="41">
        <v>43435</v>
      </c>
      <c r="AA3" s="10" t="s">
        <v>15</v>
      </c>
      <c r="AB3" s="40" t="s">
        <v>16</v>
      </c>
    </row>
    <row r="4" spans="1:28" ht="20.25" customHeight="1">
      <c r="A4" s="47" t="s">
        <v>17</v>
      </c>
      <c r="C4" s="6">
        <v>154114.85999999999</v>
      </c>
      <c r="D4" s="6"/>
      <c r="E4" s="6">
        <v>62637.03</v>
      </c>
      <c r="F4" s="6"/>
      <c r="G4" s="6">
        <f>E4*1</f>
        <v>62637.03</v>
      </c>
      <c r="H4" s="6"/>
      <c r="I4" s="6">
        <f>G4*1</f>
        <v>62637.03</v>
      </c>
      <c r="J4" s="6"/>
      <c r="K4" s="6">
        <f>I4*1</f>
        <v>62637.03</v>
      </c>
      <c r="L4" s="6"/>
      <c r="M4" s="6">
        <f>K4*1</f>
        <v>62637.03</v>
      </c>
      <c r="N4" s="6"/>
      <c r="O4" s="6">
        <v>154114.85999999999</v>
      </c>
      <c r="P4" s="6"/>
      <c r="Q4" s="6">
        <v>62637.03</v>
      </c>
      <c r="R4" s="6"/>
      <c r="S4" s="6">
        <f>Q4*1</f>
        <v>62637.03</v>
      </c>
      <c r="T4" s="6"/>
      <c r="U4" s="6">
        <f>S4*1</f>
        <v>62637.03</v>
      </c>
      <c r="V4" s="6"/>
      <c r="W4" s="6">
        <f>U4*1</f>
        <v>62637.03</v>
      </c>
      <c r="X4" s="6"/>
      <c r="Y4" s="6">
        <f>W4*1</f>
        <v>62637.03</v>
      </c>
      <c r="Z4" s="6"/>
      <c r="AA4" s="6">
        <f t="shared" ref="AA4:AA20" si="0">SUM(C4+E4+G4+I4+K4+M4+O4+Q4+S4+U4+W4+Y4)</f>
        <v>934600.02000000014</v>
      </c>
      <c r="AB4" s="43">
        <f t="shared" ref="AB4:AB20" si="1">SUM(D4+F4+H4+J4+L4+N4+P4+R4+T4+V4+X4+Z4)</f>
        <v>0</v>
      </c>
    </row>
    <row r="5" spans="1:28" ht="20.25" customHeight="1">
      <c r="A5" s="47" t="s">
        <v>18</v>
      </c>
      <c r="C5" s="6">
        <v>491761.87</v>
      </c>
      <c r="D5" s="6"/>
      <c r="E5" s="6">
        <f>492395.79+366.06</f>
        <v>492761.85</v>
      </c>
      <c r="F5" s="6"/>
      <c r="G5" s="6">
        <f>E5*1</f>
        <v>492761.85</v>
      </c>
      <c r="H5" s="6"/>
      <c r="I5" s="6">
        <f>G5*1</f>
        <v>492761.85</v>
      </c>
      <c r="J5" s="6"/>
      <c r="K5" s="6">
        <f>I5*1</f>
        <v>492761.85</v>
      </c>
      <c r="L5" s="6"/>
      <c r="M5" s="6">
        <f>K5*1</f>
        <v>492761.85</v>
      </c>
      <c r="N5" s="6"/>
      <c r="O5" s="6">
        <f>M5*1</f>
        <v>492761.85</v>
      </c>
      <c r="P5" s="6"/>
      <c r="Q5" s="6">
        <f>O5*1</f>
        <v>492761.85</v>
      </c>
      <c r="R5" s="6"/>
      <c r="S5" s="6">
        <f>Q5*1</f>
        <v>492761.85</v>
      </c>
      <c r="T5" s="6"/>
      <c r="U5" s="6">
        <f>S5*1</f>
        <v>492761.85</v>
      </c>
      <c r="V5" s="6"/>
      <c r="W5" s="6">
        <f>U5*1</f>
        <v>492761.85</v>
      </c>
      <c r="X5" s="6"/>
      <c r="Y5" s="6">
        <f>W5*1</f>
        <v>492761.85</v>
      </c>
      <c r="Z5" s="6"/>
      <c r="AA5" s="6">
        <f t="shared" si="0"/>
        <v>5912142.2199999988</v>
      </c>
      <c r="AB5" s="43">
        <f t="shared" si="1"/>
        <v>0</v>
      </c>
    </row>
    <row r="6" spans="1:28" ht="20.25" customHeight="1">
      <c r="A6" s="47" t="s">
        <v>19</v>
      </c>
      <c r="B6" s="47"/>
      <c r="C6" s="6">
        <v>455988.15</v>
      </c>
      <c r="D6" s="6"/>
      <c r="E6" s="6">
        <f>C6*1</f>
        <v>455988.15</v>
      </c>
      <c r="F6" s="6"/>
      <c r="G6" s="6">
        <f>E6*1</f>
        <v>455988.15</v>
      </c>
      <c r="H6" s="6"/>
      <c r="I6" s="6">
        <f>G6*1</f>
        <v>455988.15</v>
      </c>
      <c r="J6" s="6"/>
      <c r="K6" s="6">
        <f>I6*1</f>
        <v>455988.15</v>
      </c>
      <c r="L6" s="6"/>
      <c r="M6" s="6">
        <f>K6*1</f>
        <v>455988.15</v>
      </c>
      <c r="N6" s="6"/>
      <c r="O6" s="6">
        <f>M6*1</f>
        <v>455988.15</v>
      </c>
      <c r="P6" s="6"/>
      <c r="Q6" s="6">
        <f>O6*1</f>
        <v>455988.15</v>
      </c>
      <c r="R6" s="6"/>
      <c r="S6" s="6">
        <f>Q6*1</f>
        <v>455988.15</v>
      </c>
      <c r="T6" s="6"/>
      <c r="U6" s="6">
        <f>S6*1</f>
        <v>455988.15</v>
      </c>
      <c r="V6" s="6"/>
      <c r="W6" s="6">
        <f>U6*1</f>
        <v>455988.15</v>
      </c>
      <c r="X6" s="6"/>
      <c r="Y6" s="6">
        <f>W6*1</f>
        <v>455988.15</v>
      </c>
      <c r="Z6" s="6"/>
      <c r="AA6" s="6">
        <f t="shared" si="0"/>
        <v>5471857.8000000007</v>
      </c>
      <c r="AB6" s="43">
        <f t="shared" si="1"/>
        <v>0</v>
      </c>
    </row>
    <row r="7" spans="1:28" ht="20.25" customHeight="1">
      <c r="A7" s="47" t="s">
        <v>20</v>
      </c>
      <c r="B7" s="47"/>
      <c r="C7" s="6">
        <v>27119.79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>
        <f t="shared" si="0"/>
        <v>27119.79</v>
      </c>
      <c r="AB7" s="43">
        <f t="shared" si="1"/>
        <v>0</v>
      </c>
    </row>
    <row r="8" spans="1:28" ht="20.25" customHeight="1">
      <c r="A8" s="47" t="s">
        <v>21</v>
      </c>
      <c r="B8" s="77" t="s">
        <v>22</v>
      </c>
      <c r="C8" s="6">
        <v>204429.02</v>
      </c>
      <c r="D8" s="75">
        <v>352403.3</v>
      </c>
      <c r="E8" s="6">
        <f>C8*1</f>
        <v>204429.02</v>
      </c>
      <c r="F8" s="75">
        <v>352403.3</v>
      </c>
      <c r="G8" s="6">
        <f>E8*1</f>
        <v>204429.02</v>
      </c>
      <c r="H8" s="75">
        <v>352403.3</v>
      </c>
      <c r="I8" s="6">
        <f>G8*1</f>
        <v>204429.02</v>
      </c>
      <c r="J8" s="75">
        <v>0</v>
      </c>
      <c r="K8" s="6">
        <f>I8*1</f>
        <v>204429.02</v>
      </c>
      <c r="L8" s="75">
        <v>0</v>
      </c>
      <c r="M8" s="6">
        <f>K8*1</f>
        <v>204429.02</v>
      </c>
      <c r="N8" s="75">
        <v>0</v>
      </c>
      <c r="O8" s="6">
        <f>M8*1</f>
        <v>204429.02</v>
      </c>
      <c r="P8" s="75">
        <v>0</v>
      </c>
      <c r="Q8" s="6">
        <f>O8*1</f>
        <v>204429.02</v>
      </c>
      <c r="R8" s="75">
        <v>0</v>
      </c>
      <c r="S8" s="6">
        <f>Q8*1</f>
        <v>204429.02</v>
      </c>
      <c r="T8" s="75">
        <v>0</v>
      </c>
      <c r="U8" s="6">
        <f>S8*1</f>
        <v>204429.02</v>
      </c>
      <c r="V8" s="75">
        <v>0</v>
      </c>
      <c r="W8" s="6">
        <f>U8*1</f>
        <v>204429.02</v>
      </c>
      <c r="X8" s="75">
        <v>0</v>
      </c>
      <c r="Y8" s="6">
        <f>W8*1</f>
        <v>204429.02</v>
      </c>
      <c r="Z8" s="75">
        <v>0</v>
      </c>
      <c r="AA8" s="6">
        <f t="shared" si="0"/>
        <v>2453148.2399999998</v>
      </c>
      <c r="AB8" s="43">
        <f t="shared" si="1"/>
        <v>1057209.8999999999</v>
      </c>
    </row>
    <row r="9" spans="1:28" ht="20.25" customHeight="1">
      <c r="A9" s="47" t="s">
        <v>23</v>
      </c>
      <c r="C9" s="6">
        <f>((C20+C5+C13+C15+C19+C14+C10)/12)</f>
        <v>314701.03509666666</v>
      </c>
      <c r="D9" s="6"/>
      <c r="E9" s="6">
        <f>((E20+E5+E13+E15+E19+E14+E10)/12)</f>
        <v>315926.60226166662</v>
      </c>
      <c r="F9" s="6"/>
      <c r="G9" s="6">
        <f>E9*1</f>
        <v>315926.60226166662</v>
      </c>
      <c r="H9" s="6"/>
      <c r="I9" s="6">
        <f>G9*1</f>
        <v>315926.60226166662</v>
      </c>
      <c r="J9" s="6"/>
      <c r="K9" s="6">
        <f>I9*1</f>
        <v>315926.60226166662</v>
      </c>
      <c r="L9" s="6"/>
      <c r="M9" s="6">
        <f>K9*1</f>
        <v>315926.60226166662</v>
      </c>
      <c r="N9" s="6"/>
      <c r="O9" s="6">
        <f>M9*1</f>
        <v>315926.60226166662</v>
      </c>
      <c r="P9" s="6"/>
      <c r="Q9" s="6">
        <f>O9*1</f>
        <v>315926.60226166662</v>
      </c>
      <c r="R9" s="6"/>
      <c r="S9" s="6">
        <f>Q9*1</f>
        <v>315926.60226166662</v>
      </c>
      <c r="T9" s="6"/>
      <c r="U9" s="6">
        <f>S9*1</f>
        <v>315926.60226166662</v>
      </c>
      <c r="V9" s="6"/>
      <c r="W9" s="6">
        <f>U9*1</f>
        <v>315926.60226166662</v>
      </c>
      <c r="X9" s="6"/>
      <c r="Y9" s="6">
        <f>W9*1</f>
        <v>315926.60226166662</v>
      </c>
      <c r="Z9" s="6"/>
      <c r="AA9" s="6">
        <f t="shared" si="0"/>
        <v>3789893.6599749997</v>
      </c>
      <c r="AB9" s="43">
        <f t="shared" si="1"/>
        <v>0</v>
      </c>
    </row>
    <row r="10" spans="1:28" ht="20.25" customHeight="1">
      <c r="A10" s="47" t="s">
        <v>24</v>
      </c>
      <c r="C10" s="6">
        <f>(C20+C5+C13+C15+C19+C14+C17)*15.9%</f>
        <v>521893.21115999995</v>
      </c>
      <c r="D10" s="6"/>
      <c r="E10" s="6">
        <f>(E20+E5+E13+E15+E19+E14+E17)*15.9%</f>
        <v>523910.79713999992</v>
      </c>
      <c r="F10" s="6"/>
      <c r="G10" s="6">
        <f>E10*1</f>
        <v>523910.79713999992</v>
      </c>
      <c r="H10" s="6"/>
      <c r="I10" s="6">
        <f>G10*1</f>
        <v>523910.79713999992</v>
      </c>
      <c r="J10" s="6"/>
      <c r="K10" s="6">
        <f>I10*1</f>
        <v>523910.79713999992</v>
      </c>
      <c r="L10" s="6"/>
      <c r="M10" s="6">
        <f>K10*1</f>
        <v>523910.79713999992</v>
      </c>
      <c r="N10" s="6"/>
      <c r="O10" s="6">
        <f>M10*1</f>
        <v>523910.79713999992</v>
      </c>
      <c r="P10" s="6"/>
      <c r="Q10" s="6">
        <f>O10*1</f>
        <v>523910.79713999992</v>
      </c>
      <c r="R10" s="6"/>
      <c r="S10" s="6">
        <f>Q10*1</f>
        <v>523910.79713999992</v>
      </c>
      <c r="T10" s="6"/>
      <c r="U10" s="6">
        <f>S10*1</f>
        <v>523910.79713999992</v>
      </c>
      <c r="V10" s="6"/>
      <c r="W10" s="6">
        <f>U10*1</f>
        <v>523910.79713999992</v>
      </c>
      <c r="X10" s="6"/>
      <c r="Y10" s="6">
        <f>W10*1</f>
        <v>523910.79713999992</v>
      </c>
      <c r="Z10" s="6"/>
      <c r="AA10" s="6">
        <f t="shared" si="0"/>
        <v>6284911.979700001</v>
      </c>
      <c r="AB10" s="43">
        <f t="shared" si="1"/>
        <v>0</v>
      </c>
    </row>
    <row r="11" spans="1:28" ht="20.25" customHeight="1">
      <c r="A11" s="47" t="s">
        <v>25</v>
      </c>
      <c r="B11" s="47"/>
      <c r="C11" s="6">
        <v>35615.120000000003</v>
      </c>
      <c r="D11" s="6"/>
      <c r="E11" s="6">
        <v>35615.120000000003</v>
      </c>
      <c r="F11" s="6"/>
      <c r="G11" s="6">
        <v>35615.120000000003</v>
      </c>
      <c r="H11" s="6"/>
      <c r="I11" s="6">
        <v>35615.120000000003</v>
      </c>
      <c r="J11" s="6"/>
      <c r="K11" s="6">
        <v>35615.120000000003</v>
      </c>
      <c r="L11" s="6"/>
      <c r="M11" s="6">
        <v>35615.120000000003</v>
      </c>
      <c r="N11" s="6"/>
      <c r="O11" s="6">
        <v>35615.120000000003</v>
      </c>
      <c r="P11" s="6"/>
      <c r="Q11" s="6">
        <v>35615.120000000003</v>
      </c>
      <c r="R11" s="6"/>
      <c r="S11" s="6">
        <v>35615.120000000003</v>
      </c>
      <c r="T11" s="6"/>
      <c r="U11" s="6">
        <v>35615.120000000003</v>
      </c>
      <c r="V11" s="6"/>
      <c r="W11" s="6">
        <v>35615.120000000003</v>
      </c>
      <c r="X11" s="6"/>
      <c r="Y11" s="6">
        <v>35615.120000000003</v>
      </c>
      <c r="Z11" s="6"/>
      <c r="AA11" s="6">
        <f t="shared" si="0"/>
        <v>427381.44</v>
      </c>
      <c r="AB11" s="43">
        <f t="shared" si="1"/>
        <v>0</v>
      </c>
    </row>
    <row r="12" spans="1:28" ht="20.25" customHeight="1">
      <c r="A12" s="47" t="s">
        <v>26</v>
      </c>
      <c r="C12" s="6">
        <f>C13*1.3</f>
        <v>350046.94400000002</v>
      </c>
      <c r="D12" s="6"/>
      <c r="E12" s="6">
        <f>C12*1</f>
        <v>350046.94400000002</v>
      </c>
      <c r="F12" s="6"/>
      <c r="G12" s="6">
        <f>E12*1</f>
        <v>350046.94400000002</v>
      </c>
      <c r="H12" s="6"/>
      <c r="I12" s="6">
        <f>G12*1</f>
        <v>350046.94400000002</v>
      </c>
      <c r="J12" s="6"/>
      <c r="K12" s="6">
        <f>I12*1</f>
        <v>350046.94400000002</v>
      </c>
      <c r="L12" s="6"/>
      <c r="M12" s="6">
        <f>K12*1</f>
        <v>350046.94400000002</v>
      </c>
      <c r="N12" s="6"/>
      <c r="O12" s="6">
        <f>M12*1</f>
        <v>350046.94400000002</v>
      </c>
      <c r="P12" s="6"/>
      <c r="Q12" s="6">
        <f>O12*1</f>
        <v>350046.94400000002</v>
      </c>
      <c r="R12" s="6"/>
      <c r="S12" s="6">
        <f>Q12*1</f>
        <v>350046.94400000002</v>
      </c>
      <c r="T12" s="6"/>
      <c r="U12" s="6">
        <f>S12*1</f>
        <v>350046.94400000002</v>
      </c>
      <c r="V12" s="6"/>
      <c r="W12" s="6">
        <f>U12*1</f>
        <v>350046.94400000002</v>
      </c>
      <c r="X12" s="6"/>
      <c r="Y12" s="6">
        <f>W12*1</f>
        <v>350046.94400000002</v>
      </c>
      <c r="Z12" s="6"/>
      <c r="AA12" s="6">
        <f t="shared" si="0"/>
        <v>4200563.3280000007</v>
      </c>
      <c r="AB12" s="43">
        <f t="shared" si="1"/>
        <v>0</v>
      </c>
    </row>
    <row r="13" spans="1:28" ht="20.25" customHeight="1">
      <c r="A13" s="47" t="s">
        <v>27</v>
      </c>
      <c r="C13" s="6">
        <v>269266.88</v>
      </c>
      <c r="D13" s="6"/>
      <c r="E13" s="6">
        <v>273018.46999999997</v>
      </c>
      <c r="F13" s="6"/>
      <c r="G13" s="6">
        <f>E13*1</f>
        <v>273018.46999999997</v>
      </c>
      <c r="H13" s="6"/>
      <c r="I13" s="6">
        <f>G13*1</f>
        <v>273018.46999999997</v>
      </c>
      <c r="J13" s="6"/>
      <c r="K13" s="6">
        <f>I13*1</f>
        <v>273018.46999999997</v>
      </c>
      <c r="L13" s="6"/>
      <c r="M13" s="6">
        <f>K13*1</f>
        <v>273018.46999999997</v>
      </c>
      <c r="N13" s="6"/>
      <c r="O13" s="6">
        <f>M13*1</f>
        <v>273018.46999999997</v>
      </c>
      <c r="P13" s="6"/>
      <c r="Q13" s="6">
        <f>O13*1</f>
        <v>273018.46999999997</v>
      </c>
      <c r="R13" s="6"/>
      <c r="S13" s="6">
        <f>Q13*1</f>
        <v>273018.46999999997</v>
      </c>
      <c r="T13" s="6"/>
      <c r="U13" s="6">
        <f>S13*1</f>
        <v>273018.46999999997</v>
      </c>
      <c r="V13" s="6"/>
      <c r="W13" s="6">
        <f>U13*1</f>
        <v>273018.46999999997</v>
      </c>
      <c r="X13" s="6"/>
      <c r="Y13" s="6">
        <f>W13*1</f>
        <v>273018.46999999997</v>
      </c>
      <c r="Z13" s="6"/>
      <c r="AA13" s="6">
        <f t="shared" si="0"/>
        <v>3272470.0499999989</v>
      </c>
      <c r="AB13" s="43">
        <f t="shared" si="1"/>
        <v>0</v>
      </c>
    </row>
    <row r="14" spans="1:28" ht="20.25" customHeight="1">
      <c r="A14" s="47" t="s">
        <v>28</v>
      </c>
      <c r="C14" s="6">
        <v>65116.58</v>
      </c>
      <c r="D14" s="6"/>
      <c r="E14" s="6">
        <f>C14*1</f>
        <v>65116.58</v>
      </c>
      <c r="F14" s="6"/>
      <c r="G14" s="6">
        <f>E14*1</f>
        <v>65116.58</v>
      </c>
      <c r="H14" s="6"/>
      <c r="I14" s="6">
        <f>G14*1</f>
        <v>65116.58</v>
      </c>
      <c r="J14" s="6"/>
      <c r="K14" s="6">
        <f>I14*1</f>
        <v>65116.58</v>
      </c>
      <c r="L14" s="6"/>
      <c r="M14" s="6">
        <f>K14*1</f>
        <v>65116.58</v>
      </c>
      <c r="N14" s="6"/>
      <c r="O14" s="6">
        <f>M14*1</f>
        <v>65116.58</v>
      </c>
      <c r="P14" s="6"/>
      <c r="Q14" s="6">
        <f>O14*1</f>
        <v>65116.58</v>
      </c>
      <c r="R14" s="6"/>
      <c r="S14" s="6">
        <f>Q14*1</f>
        <v>65116.58</v>
      </c>
      <c r="T14" s="6"/>
      <c r="U14" s="6">
        <f>S14*1</f>
        <v>65116.58</v>
      </c>
      <c r="V14" s="6"/>
      <c r="W14" s="6">
        <f>U14*1</f>
        <v>65116.58</v>
      </c>
      <c r="X14" s="6"/>
      <c r="Y14" s="6">
        <f>W14*1</f>
        <v>65116.58</v>
      </c>
      <c r="Z14" s="6"/>
      <c r="AA14" s="6">
        <f t="shared" si="0"/>
        <v>781398.96</v>
      </c>
      <c r="AB14" s="43">
        <f t="shared" si="1"/>
        <v>0</v>
      </c>
    </row>
    <row r="15" spans="1:28" ht="20.25" customHeight="1">
      <c r="A15" s="47" t="s">
        <v>29</v>
      </c>
      <c r="C15" s="6">
        <v>29806.35</v>
      </c>
      <c r="D15" s="6"/>
      <c r="E15" s="6">
        <f>C15*1</f>
        <v>29806.35</v>
      </c>
      <c r="F15" s="6"/>
      <c r="G15" s="6">
        <f>E15*1</f>
        <v>29806.35</v>
      </c>
      <c r="H15" s="6"/>
      <c r="I15" s="6">
        <f>G15*1</f>
        <v>29806.35</v>
      </c>
      <c r="J15" s="6"/>
      <c r="K15" s="6">
        <f>I15*1</f>
        <v>29806.35</v>
      </c>
      <c r="L15" s="6"/>
      <c r="M15" s="6">
        <f>K15*1</f>
        <v>29806.35</v>
      </c>
      <c r="N15" s="6"/>
      <c r="O15" s="6">
        <f>M15*1</f>
        <v>29806.35</v>
      </c>
      <c r="P15" s="6"/>
      <c r="Q15" s="6">
        <f>O15*1</f>
        <v>29806.35</v>
      </c>
      <c r="R15" s="6"/>
      <c r="S15" s="6">
        <f>Q15*1</f>
        <v>29806.35</v>
      </c>
      <c r="T15" s="6"/>
      <c r="U15" s="6">
        <f>S15*1</f>
        <v>29806.35</v>
      </c>
      <c r="V15" s="6"/>
      <c r="W15" s="6">
        <f>U15*1</f>
        <v>29806.35</v>
      </c>
      <c r="X15" s="6"/>
      <c r="Y15" s="6">
        <f>W15*1</f>
        <v>29806.35</v>
      </c>
      <c r="Z15" s="6"/>
      <c r="AA15" s="6">
        <f t="shared" si="0"/>
        <v>357676.19999999995</v>
      </c>
      <c r="AB15" s="43">
        <f t="shared" si="1"/>
        <v>0</v>
      </c>
    </row>
    <row r="16" spans="1:28" ht="20.25" customHeight="1">
      <c r="A16" s="47" t="s">
        <v>30</v>
      </c>
      <c r="B16" s="47"/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0</v>
      </c>
      <c r="R16" s="6"/>
      <c r="S16" s="6">
        <v>0</v>
      </c>
      <c r="T16" s="6"/>
      <c r="U16" s="6">
        <v>0</v>
      </c>
      <c r="V16" s="6"/>
      <c r="W16" s="6">
        <v>0</v>
      </c>
      <c r="X16" s="6"/>
      <c r="Y16" s="6">
        <v>0</v>
      </c>
      <c r="Z16" s="6"/>
      <c r="AA16" s="6">
        <f t="shared" si="0"/>
        <v>0</v>
      </c>
      <c r="AB16" s="43">
        <f t="shared" si="1"/>
        <v>0</v>
      </c>
    </row>
    <row r="17" spans="1:28" ht="20.25" customHeight="1">
      <c r="A17" s="47" t="s">
        <v>31</v>
      </c>
      <c r="C17" s="6">
        <v>27828.03</v>
      </c>
      <c r="D17" s="6"/>
      <c r="E17" s="6">
        <f>C17*1</f>
        <v>27828.03</v>
      </c>
      <c r="F17" s="6"/>
      <c r="G17" s="6">
        <f>E17*1</f>
        <v>27828.03</v>
      </c>
      <c r="H17" s="6"/>
      <c r="I17" s="6">
        <f>G17*1</f>
        <v>27828.03</v>
      </c>
      <c r="J17" s="6"/>
      <c r="K17" s="6">
        <f>I17*1</f>
        <v>27828.03</v>
      </c>
      <c r="L17" s="6"/>
      <c r="M17" s="6">
        <f>K17*1</f>
        <v>27828.03</v>
      </c>
      <c r="N17" s="6"/>
      <c r="O17" s="6">
        <f>M17*1</f>
        <v>27828.03</v>
      </c>
      <c r="P17" s="6"/>
      <c r="Q17" s="6">
        <f>O17*1</f>
        <v>27828.03</v>
      </c>
      <c r="R17" s="6"/>
      <c r="S17" s="6">
        <f>Q17*1</f>
        <v>27828.03</v>
      </c>
      <c r="T17" s="6"/>
      <c r="U17" s="6">
        <f>S17*1</f>
        <v>27828.03</v>
      </c>
      <c r="V17" s="6"/>
      <c r="W17" s="6">
        <f>U17*1</f>
        <v>27828.03</v>
      </c>
      <c r="X17" s="6"/>
      <c r="Y17" s="6">
        <f>W17*1</f>
        <v>27828.03</v>
      </c>
      <c r="Z17" s="6"/>
      <c r="AA17" s="6">
        <f t="shared" si="0"/>
        <v>333936.36</v>
      </c>
      <c r="AB17" s="43">
        <f t="shared" si="1"/>
        <v>0</v>
      </c>
    </row>
    <row r="18" spans="1:28" ht="20.25" customHeight="1">
      <c r="A18" s="47" t="s">
        <v>32</v>
      </c>
      <c r="B18" s="47"/>
      <c r="C18" s="6">
        <v>416.67</v>
      </c>
      <c r="D18" s="6"/>
      <c r="E18" s="6">
        <v>416.67</v>
      </c>
      <c r="F18" s="6"/>
      <c r="G18" s="6">
        <v>416.67</v>
      </c>
      <c r="H18" s="6"/>
      <c r="I18" s="6">
        <v>416.67</v>
      </c>
      <c r="J18" s="6"/>
      <c r="K18" s="6">
        <v>416.67</v>
      </c>
      <c r="L18" s="6"/>
      <c r="M18" s="6">
        <v>416.67</v>
      </c>
      <c r="N18" s="6"/>
      <c r="O18" s="6">
        <v>416.67</v>
      </c>
      <c r="P18" s="6"/>
      <c r="Q18" s="6">
        <v>416.67</v>
      </c>
      <c r="R18" s="6"/>
      <c r="S18" s="6">
        <v>416.67</v>
      </c>
      <c r="T18" s="6"/>
      <c r="U18" s="6">
        <v>416.67</v>
      </c>
      <c r="V18" s="6"/>
      <c r="W18" s="6">
        <v>416.67</v>
      </c>
      <c r="X18" s="6"/>
      <c r="Y18" s="6">
        <v>416.67</v>
      </c>
      <c r="Z18" s="6"/>
      <c r="AA18" s="6">
        <f t="shared" si="0"/>
        <v>5000.04</v>
      </c>
      <c r="AB18" s="43">
        <f t="shared" si="1"/>
        <v>0</v>
      </c>
    </row>
    <row r="19" spans="1:28" ht="20.25" customHeight="1">
      <c r="A19" s="47" t="s">
        <v>33</v>
      </c>
      <c r="C19" s="6">
        <v>16551.900000000001</v>
      </c>
      <c r="D19" s="6"/>
      <c r="E19" s="6">
        <f>C19*1</f>
        <v>16551.900000000001</v>
      </c>
      <c r="F19" s="6"/>
      <c r="G19" s="6">
        <f>E19*1</f>
        <v>16551.900000000001</v>
      </c>
      <c r="H19" s="6"/>
      <c r="I19" s="6">
        <f>G19*1</f>
        <v>16551.900000000001</v>
      </c>
      <c r="J19" s="6"/>
      <c r="K19" s="6">
        <f>I19*1</f>
        <v>16551.900000000001</v>
      </c>
      <c r="L19" s="6"/>
      <c r="M19" s="6">
        <f>K19*1</f>
        <v>16551.900000000001</v>
      </c>
      <c r="N19" s="6"/>
      <c r="O19" s="6">
        <f>M19*1</f>
        <v>16551.900000000001</v>
      </c>
      <c r="P19" s="6"/>
      <c r="Q19" s="6">
        <f>O19*1</f>
        <v>16551.900000000001</v>
      </c>
      <c r="R19" s="6"/>
      <c r="S19" s="6">
        <f>Q19*1</f>
        <v>16551.900000000001</v>
      </c>
      <c r="T19" s="6"/>
      <c r="U19" s="6">
        <f>S19*1</f>
        <v>16551.900000000001</v>
      </c>
      <c r="V19" s="6"/>
      <c r="W19" s="6">
        <f>U19*1</f>
        <v>16551.900000000001</v>
      </c>
      <c r="X19" s="6"/>
      <c r="Y19" s="6">
        <f>W19*1</f>
        <v>16551.900000000001</v>
      </c>
      <c r="Z19" s="6"/>
      <c r="AA19" s="6">
        <f t="shared" si="0"/>
        <v>198622.79999999996</v>
      </c>
      <c r="AB19" s="43">
        <f t="shared" si="1"/>
        <v>0</v>
      </c>
    </row>
    <row r="20" spans="1:28" ht="20.25" customHeight="1">
      <c r="A20" s="47" t="s">
        <v>34</v>
      </c>
      <c r="C20" s="6">
        <v>2382015.63</v>
      </c>
      <c r="D20" s="6"/>
      <c r="E20" s="6">
        <v>2389953.2799999998</v>
      </c>
      <c r="F20" s="6"/>
      <c r="G20" s="6">
        <f>E20*1</f>
        <v>2389953.2799999998</v>
      </c>
      <c r="H20" s="6"/>
      <c r="I20" s="6">
        <f>G20*1</f>
        <v>2389953.2799999998</v>
      </c>
      <c r="J20" s="6"/>
      <c r="K20" s="6">
        <f>I20*1</f>
        <v>2389953.2799999998</v>
      </c>
      <c r="L20" s="6"/>
      <c r="M20" s="6">
        <f>K20*1</f>
        <v>2389953.2799999998</v>
      </c>
      <c r="N20" s="6"/>
      <c r="O20" s="6">
        <f>M20*1</f>
        <v>2389953.2799999998</v>
      </c>
      <c r="P20" s="6"/>
      <c r="Q20" s="6">
        <f>O20*1</f>
        <v>2389953.2799999998</v>
      </c>
      <c r="R20" s="6"/>
      <c r="S20" s="6">
        <f>Q20*1</f>
        <v>2389953.2799999998</v>
      </c>
      <c r="T20" s="6"/>
      <c r="U20" s="6">
        <f>S20*1</f>
        <v>2389953.2799999998</v>
      </c>
      <c r="V20" s="6"/>
      <c r="W20" s="6">
        <f>U20*1</f>
        <v>2389953.2799999998</v>
      </c>
      <c r="X20" s="6"/>
      <c r="Y20" s="6">
        <f>W20*1</f>
        <v>2389953.2799999998</v>
      </c>
      <c r="Z20" s="6"/>
      <c r="AA20" s="6">
        <f t="shared" si="0"/>
        <v>28671501.710000001</v>
      </c>
      <c r="AB20" s="43">
        <f t="shared" si="1"/>
        <v>0</v>
      </c>
    </row>
    <row r="21" spans="1:28" ht="20.25" customHeight="1">
      <c r="A21" s="64" t="s">
        <v>35</v>
      </c>
      <c r="B21" s="7"/>
      <c r="C21" s="8">
        <f t="shared" ref="C21:AB21" si="2">SUM(C4:C20)</f>
        <v>5346672.040256666</v>
      </c>
      <c r="D21" s="8">
        <f>SUM(D4:D20)</f>
        <v>352403.3</v>
      </c>
      <c r="E21" s="8">
        <f t="shared" si="2"/>
        <v>5244006.793401666</v>
      </c>
      <c r="F21" s="8">
        <f>SUM(F4:F20)</f>
        <v>352403.3</v>
      </c>
      <c r="G21" s="8">
        <f t="shared" si="2"/>
        <v>5244006.793401666</v>
      </c>
      <c r="H21" s="8">
        <f>SUM(H4:H20)</f>
        <v>352403.3</v>
      </c>
      <c r="I21" s="8">
        <f t="shared" si="2"/>
        <v>5244006.793401666</v>
      </c>
      <c r="J21" s="8">
        <f>SUM(J4:J20)</f>
        <v>0</v>
      </c>
      <c r="K21" s="8">
        <f t="shared" si="2"/>
        <v>5244006.793401666</v>
      </c>
      <c r="L21" s="8">
        <f>SUM(L4:L20)</f>
        <v>0</v>
      </c>
      <c r="M21" s="8">
        <f t="shared" si="2"/>
        <v>5244006.793401666</v>
      </c>
      <c r="N21" s="8">
        <f>SUM(N4:N20)</f>
        <v>0</v>
      </c>
      <c r="O21" s="8">
        <f t="shared" si="2"/>
        <v>5335484.6234016661</v>
      </c>
      <c r="P21" s="8">
        <f>SUM(P4:P20)</f>
        <v>0</v>
      </c>
      <c r="Q21" s="8">
        <f t="shared" si="2"/>
        <v>5244006.793401666</v>
      </c>
      <c r="R21" s="8">
        <f>SUM(R4:R20)</f>
        <v>0</v>
      </c>
      <c r="S21" s="8">
        <f t="shared" si="2"/>
        <v>5244006.793401666</v>
      </c>
      <c r="T21" s="8">
        <f>SUM(T4:T20)</f>
        <v>0</v>
      </c>
      <c r="U21" s="8">
        <f t="shared" si="2"/>
        <v>5244006.793401666</v>
      </c>
      <c r="V21" s="8">
        <f>SUM(V4:V20)</f>
        <v>0</v>
      </c>
      <c r="W21" s="8">
        <f t="shared" si="2"/>
        <v>5244006.793401666</v>
      </c>
      <c r="X21" s="8">
        <f>SUM(X4:X20)</f>
        <v>0</v>
      </c>
      <c r="Y21" s="8">
        <f t="shared" si="2"/>
        <v>5244006.793401666</v>
      </c>
      <c r="Z21" s="8">
        <f t="shared" si="2"/>
        <v>0</v>
      </c>
      <c r="AA21" s="8">
        <f t="shared" si="2"/>
        <v>63122224.597675003</v>
      </c>
      <c r="AB21" s="61">
        <f t="shared" si="2"/>
        <v>1057209.8999999999</v>
      </c>
    </row>
    <row r="22" spans="1:28" ht="28.5" customHeight="1">
      <c r="A22" s="63" t="s">
        <v>36</v>
      </c>
      <c r="B22" s="46"/>
      <c r="C22" s="29" t="s">
        <v>3</v>
      </c>
      <c r="D22" s="78">
        <f>D3</f>
        <v>43101</v>
      </c>
      <c r="E22" s="29" t="s">
        <v>4</v>
      </c>
      <c r="F22" s="78">
        <f>F3</f>
        <v>43132</v>
      </c>
      <c r="G22" s="29" t="s">
        <v>5</v>
      </c>
      <c r="H22" s="78">
        <f>H3</f>
        <v>43160</v>
      </c>
      <c r="I22" s="29" t="s">
        <v>6</v>
      </c>
      <c r="J22" s="78">
        <f>J3</f>
        <v>43191</v>
      </c>
      <c r="K22" s="29" t="s">
        <v>7</v>
      </c>
      <c r="L22" s="78">
        <f>L3</f>
        <v>43221</v>
      </c>
      <c r="M22" s="29" t="s">
        <v>8</v>
      </c>
      <c r="N22" s="78">
        <f>N3</f>
        <v>43252</v>
      </c>
      <c r="O22" s="29" t="s">
        <v>9</v>
      </c>
      <c r="P22" s="78">
        <f>P3</f>
        <v>43282</v>
      </c>
      <c r="Q22" s="29" t="s">
        <v>10</v>
      </c>
      <c r="R22" s="78">
        <f>R3</f>
        <v>43313</v>
      </c>
      <c r="S22" s="10" t="s">
        <v>11</v>
      </c>
      <c r="T22" s="78">
        <f>T3</f>
        <v>43344</v>
      </c>
      <c r="U22" s="10" t="s">
        <v>12</v>
      </c>
      <c r="V22" s="78">
        <f>V3</f>
        <v>43374</v>
      </c>
      <c r="W22" s="10" t="s">
        <v>13</v>
      </c>
      <c r="X22" s="78">
        <f>X3</f>
        <v>43405</v>
      </c>
      <c r="Y22" s="10" t="s">
        <v>14</v>
      </c>
      <c r="Z22" s="78">
        <f>Z3</f>
        <v>43435</v>
      </c>
      <c r="AA22" s="10" t="s">
        <v>37</v>
      </c>
      <c r="AB22" s="40" t="str">
        <f>AB3</f>
        <v>TOTAL 2018</v>
      </c>
    </row>
    <row r="23" spans="1:28" ht="20.25" customHeight="1">
      <c r="A23" s="65" t="s">
        <v>38</v>
      </c>
      <c r="B23" s="48"/>
      <c r="C23" s="6">
        <f>68145.1/11</f>
        <v>6195.0090909090914</v>
      </c>
      <c r="D23" s="6"/>
      <c r="E23" s="6">
        <f t="shared" ref="E23:E29" si="3">C23</f>
        <v>6195.0090909090914</v>
      </c>
      <c r="F23" s="6"/>
      <c r="G23" s="6">
        <f t="shared" ref="G23:G29" si="4">E23</f>
        <v>6195.0090909090914</v>
      </c>
      <c r="H23" s="6"/>
      <c r="I23" s="6">
        <f t="shared" ref="I23:I29" si="5">G23</f>
        <v>6195.0090909090914</v>
      </c>
      <c r="J23" s="6"/>
      <c r="K23" s="6">
        <f t="shared" ref="K23:K29" si="6">I23</f>
        <v>6195.0090909090914</v>
      </c>
      <c r="L23" s="6"/>
      <c r="M23" s="6">
        <f t="shared" ref="M23:M29" si="7">K23</f>
        <v>6195.0090909090914</v>
      </c>
      <c r="N23" s="6"/>
      <c r="O23" s="6">
        <f t="shared" ref="O23:O29" si="8">M23</f>
        <v>6195.0090909090914</v>
      </c>
      <c r="P23" s="6"/>
      <c r="Q23" s="6">
        <f t="shared" ref="Q23:Q29" si="9">O23</f>
        <v>6195.0090909090914</v>
      </c>
      <c r="R23" s="6"/>
      <c r="S23" s="6">
        <f t="shared" ref="S23:S29" si="10">Q23</f>
        <v>6195.0090909090914</v>
      </c>
      <c r="T23" s="6"/>
      <c r="U23" s="6">
        <f t="shared" ref="U23:U29" si="11">S23</f>
        <v>6195.0090909090914</v>
      </c>
      <c r="V23" s="6"/>
      <c r="W23" s="6">
        <f t="shared" ref="W23:W29" si="12">U23</f>
        <v>6195.0090909090914</v>
      </c>
      <c r="X23" s="6"/>
      <c r="Y23" s="6">
        <f t="shared" ref="Y23:Y29" si="13">W23</f>
        <v>6195.0090909090914</v>
      </c>
      <c r="Z23" s="6"/>
      <c r="AA23" s="6">
        <f t="shared" ref="AA23:AB29" si="14">SUM(C23+E23+G23+I23+K23+M23+O23+Q23+S23+U23+W23+Y23)</f>
        <v>74340.109090909114</v>
      </c>
      <c r="AB23" s="43">
        <f t="shared" si="14"/>
        <v>0</v>
      </c>
    </row>
    <row r="24" spans="1:28" ht="20.25" customHeight="1">
      <c r="A24" s="65" t="s">
        <v>39</v>
      </c>
      <c r="B24" s="48"/>
      <c r="C24" s="6">
        <f>26840/11</f>
        <v>2440</v>
      </c>
      <c r="D24" s="6"/>
      <c r="E24" s="6">
        <f t="shared" si="3"/>
        <v>2440</v>
      </c>
      <c r="F24" s="6"/>
      <c r="G24" s="6">
        <f t="shared" si="4"/>
        <v>2440</v>
      </c>
      <c r="H24" s="6"/>
      <c r="I24" s="6">
        <f t="shared" si="5"/>
        <v>2440</v>
      </c>
      <c r="J24" s="6"/>
      <c r="K24" s="6">
        <f t="shared" si="6"/>
        <v>2440</v>
      </c>
      <c r="L24" s="6"/>
      <c r="M24" s="6">
        <f t="shared" si="7"/>
        <v>2440</v>
      </c>
      <c r="N24" s="6"/>
      <c r="O24" s="6">
        <f t="shared" si="8"/>
        <v>2440</v>
      </c>
      <c r="P24" s="6"/>
      <c r="Q24" s="6">
        <f t="shared" si="9"/>
        <v>2440</v>
      </c>
      <c r="R24" s="6"/>
      <c r="S24" s="6">
        <f t="shared" si="10"/>
        <v>2440</v>
      </c>
      <c r="T24" s="6"/>
      <c r="U24" s="6">
        <f t="shared" si="11"/>
        <v>2440</v>
      </c>
      <c r="V24" s="6"/>
      <c r="W24" s="6">
        <f t="shared" si="12"/>
        <v>2440</v>
      </c>
      <c r="X24" s="6"/>
      <c r="Y24" s="6">
        <f t="shared" si="13"/>
        <v>2440</v>
      </c>
      <c r="Z24" s="6"/>
      <c r="AA24" s="6">
        <f t="shared" si="14"/>
        <v>29280</v>
      </c>
      <c r="AB24" s="43">
        <f t="shared" si="14"/>
        <v>0</v>
      </c>
    </row>
    <row r="25" spans="1:28" ht="20.25" customHeight="1">
      <c r="A25" s="65" t="s">
        <v>40</v>
      </c>
      <c r="B25" s="48"/>
      <c r="C25" s="6">
        <f>20735/11</f>
        <v>1885</v>
      </c>
      <c r="D25" s="6"/>
      <c r="E25" s="6">
        <f t="shared" si="3"/>
        <v>1885</v>
      </c>
      <c r="F25" s="6"/>
      <c r="G25" s="6">
        <f t="shared" si="4"/>
        <v>1885</v>
      </c>
      <c r="H25" s="6"/>
      <c r="I25" s="6">
        <f t="shared" si="5"/>
        <v>1885</v>
      </c>
      <c r="J25" s="6"/>
      <c r="K25" s="6">
        <f t="shared" si="6"/>
        <v>1885</v>
      </c>
      <c r="L25" s="6"/>
      <c r="M25" s="6">
        <f t="shared" si="7"/>
        <v>1885</v>
      </c>
      <c r="N25" s="6"/>
      <c r="O25" s="6">
        <f t="shared" si="8"/>
        <v>1885</v>
      </c>
      <c r="P25" s="6"/>
      <c r="Q25" s="6">
        <f t="shared" si="9"/>
        <v>1885</v>
      </c>
      <c r="R25" s="6"/>
      <c r="S25" s="6">
        <f t="shared" si="10"/>
        <v>1885</v>
      </c>
      <c r="T25" s="6"/>
      <c r="U25" s="6">
        <f t="shared" si="11"/>
        <v>1885</v>
      </c>
      <c r="V25" s="6"/>
      <c r="W25" s="6">
        <f t="shared" si="12"/>
        <v>1885</v>
      </c>
      <c r="X25" s="6"/>
      <c r="Y25" s="6">
        <f t="shared" si="13"/>
        <v>1885</v>
      </c>
      <c r="Z25" s="6"/>
      <c r="AA25" s="6">
        <f t="shared" si="14"/>
        <v>22620</v>
      </c>
      <c r="AB25" s="43">
        <f t="shared" si="14"/>
        <v>0</v>
      </c>
    </row>
    <row r="26" spans="1:28" ht="20.25" customHeight="1">
      <c r="A26" s="65" t="s">
        <v>41</v>
      </c>
      <c r="B26" s="48"/>
      <c r="C26" s="6">
        <f>75623.9/11</f>
        <v>6874.9</v>
      </c>
      <c r="D26" s="6"/>
      <c r="E26" s="6">
        <f t="shared" si="3"/>
        <v>6874.9</v>
      </c>
      <c r="F26" s="6"/>
      <c r="G26" s="6">
        <f t="shared" si="4"/>
        <v>6874.9</v>
      </c>
      <c r="H26" s="6"/>
      <c r="I26" s="6">
        <f t="shared" si="5"/>
        <v>6874.9</v>
      </c>
      <c r="J26" s="6"/>
      <c r="K26" s="6">
        <f t="shared" si="6"/>
        <v>6874.9</v>
      </c>
      <c r="L26" s="6"/>
      <c r="M26" s="6">
        <f t="shared" si="7"/>
        <v>6874.9</v>
      </c>
      <c r="N26" s="6"/>
      <c r="O26" s="6">
        <f t="shared" si="8"/>
        <v>6874.9</v>
      </c>
      <c r="P26" s="6"/>
      <c r="Q26" s="6">
        <f t="shared" si="9"/>
        <v>6874.9</v>
      </c>
      <c r="R26" s="6"/>
      <c r="S26" s="6">
        <f t="shared" si="10"/>
        <v>6874.9</v>
      </c>
      <c r="T26" s="6"/>
      <c r="U26" s="6">
        <f t="shared" si="11"/>
        <v>6874.9</v>
      </c>
      <c r="V26" s="6"/>
      <c r="W26" s="6">
        <f t="shared" si="12"/>
        <v>6874.9</v>
      </c>
      <c r="X26" s="6"/>
      <c r="Y26" s="6">
        <f t="shared" si="13"/>
        <v>6874.9</v>
      </c>
      <c r="Z26" s="6"/>
      <c r="AA26" s="6">
        <f t="shared" si="14"/>
        <v>82498.799999999988</v>
      </c>
      <c r="AB26" s="43">
        <f t="shared" si="14"/>
        <v>0</v>
      </c>
    </row>
    <row r="27" spans="1:28" ht="20.25" customHeight="1">
      <c r="A27" s="65" t="s">
        <v>42</v>
      </c>
      <c r="B27" s="48"/>
      <c r="C27" s="6">
        <f>29592.12/11</f>
        <v>2690.1927272727271</v>
      </c>
      <c r="D27" s="6"/>
      <c r="E27" s="6">
        <f t="shared" si="3"/>
        <v>2690.1927272727271</v>
      </c>
      <c r="F27" s="6"/>
      <c r="G27" s="6">
        <f t="shared" si="4"/>
        <v>2690.1927272727271</v>
      </c>
      <c r="H27" s="6"/>
      <c r="I27" s="6">
        <f t="shared" si="5"/>
        <v>2690.1927272727271</v>
      </c>
      <c r="J27" s="6"/>
      <c r="K27" s="6">
        <f t="shared" si="6"/>
        <v>2690.1927272727271</v>
      </c>
      <c r="L27" s="6"/>
      <c r="M27" s="6">
        <f t="shared" si="7"/>
        <v>2690.1927272727271</v>
      </c>
      <c r="N27" s="6"/>
      <c r="O27" s="6">
        <f t="shared" si="8"/>
        <v>2690.1927272727271</v>
      </c>
      <c r="P27" s="6"/>
      <c r="Q27" s="6">
        <f t="shared" si="9"/>
        <v>2690.1927272727271</v>
      </c>
      <c r="R27" s="6"/>
      <c r="S27" s="6">
        <f t="shared" si="10"/>
        <v>2690.1927272727271</v>
      </c>
      <c r="T27" s="6"/>
      <c r="U27" s="6">
        <f t="shared" si="11"/>
        <v>2690.1927272727271</v>
      </c>
      <c r="V27" s="6"/>
      <c r="W27" s="6">
        <f t="shared" si="12"/>
        <v>2690.1927272727271</v>
      </c>
      <c r="X27" s="6"/>
      <c r="Y27" s="6">
        <f t="shared" si="13"/>
        <v>2690.1927272727271</v>
      </c>
      <c r="Z27" s="6"/>
      <c r="AA27" s="6">
        <f t="shared" si="14"/>
        <v>32282.312727272718</v>
      </c>
      <c r="AB27" s="43">
        <f t="shared" si="14"/>
        <v>0</v>
      </c>
    </row>
    <row r="28" spans="1:28" ht="20.25" customHeight="1">
      <c r="A28" s="65" t="s">
        <v>43</v>
      </c>
      <c r="B28" s="48"/>
      <c r="C28" s="6">
        <f>29890.45/11</f>
        <v>2717.3136363636363</v>
      </c>
      <c r="D28" s="6"/>
      <c r="E28" s="6">
        <f t="shared" si="3"/>
        <v>2717.3136363636363</v>
      </c>
      <c r="F28" s="6"/>
      <c r="G28" s="6">
        <f t="shared" si="4"/>
        <v>2717.3136363636363</v>
      </c>
      <c r="H28" s="6"/>
      <c r="I28" s="6">
        <f t="shared" si="5"/>
        <v>2717.3136363636363</v>
      </c>
      <c r="J28" s="6"/>
      <c r="K28" s="6">
        <f t="shared" si="6"/>
        <v>2717.3136363636363</v>
      </c>
      <c r="L28" s="6"/>
      <c r="M28" s="6">
        <f t="shared" si="7"/>
        <v>2717.3136363636363</v>
      </c>
      <c r="N28" s="6"/>
      <c r="O28" s="6">
        <f t="shared" si="8"/>
        <v>2717.3136363636363</v>
      </c>
      <c r="P28" s="6"/>
      <c r="Q28" s="6">
        <f t="shared" si="9"/>
        <v>2717.3136363636363</v>
      </c>
      <c r="R28" s="6"/>
      <c r="S28" s="6">
        <f t="shared" si="10"/>
        <v>2717.3136363636363</v>
      </c>
      <c r="T28" s="6"/>
      <c r="U28" s="6">
        <f t="shared" si="11"/>
        <v>2717.3136363636363</v>
      </c>
      <c r="V28" s="6"/>
      <c r="W28" s="6">
        <f t="shared" si="12"/>
        <v>2717.3136363636363</v>
      </c>
      <c r="X28" s="6"/>
      <c r="Y28" s="6">
        <f t="shared" si="13"/>
        <v>2717.3136363636363</v>
      </c>
      <c r="Z28" s="6"/>
      <c r="AA28" s="6">
        <f t="shared" si="14"/>
        <v>32607.763636363637</v>
      </c>
      <c r="AB28" s="43">
        <f t="shared" si="14"/>
        <v>0</v>
      </c>
    </row>
    <row r="29" spans="1:28" ht="20.25" customHeight="1">
      <c r="A29" s="65" t="s">
        <v>44</v>
      </c>
      <c r="B29" s="48"/>
      <c r="C29" s="6">
        <f>1733.35/11</f>
        <v>157.57727272727271</v>
      </c>
      <c r="D29" s="6"/>
      <c r="E29" s="6">
        <f t="shared" si="3"/>
        <v>157.57727272727271</v>
      </c>
      <c r="F29" s="6"/>
      <c r="G29" s="6">
        <f t="shared" si="4"/>
        <v>157.57727272727271</v>
      </c>
      <c r="H29" s="6"/>
      <c r="I29" s="6">
        <f t="shared" si="5"/>
        <v>157.57727272727271</v>
      </c>
      <c r="J29" s="6"/>
      <c r="K29" s="6">
        <f t="shared" si="6"/>
        <v>157.57727272727271</v>
      </c>
      <c r="L29" s="6"/>
      <c r="M29" s="6">
        <f t="shared" si="7"/>
        <v>157.57727272727271</v>
      </c>
      <c r="N29" s="6"/>
      <c r="O29" s="6">
        <f t="shared" si="8"/>
        <v>157.57727272727271</v>
      </c>
      <c r="P29" s="6"/>
      <c r="Q29" s="6">
        <f t="shared" si="9"/>
        <v>157.57727272727271</v>
      </c>
      <c r="R29" s="6"/>
      <c r="S29" s="6">
        <f t="shared" si="10"/>
        <v>157.57727272727271</v>
      </c>
      <c r="T29" s="6"/>
      <c r="U29" s="6">
        <f t="shared" si="11"/>
        <v>157.57727272727271</v>
      </c>
      <c r="V29" s="6"/>
      <c r="W29" s="6">
        <f t="shared" si="12"/>
        <v>157.57727272727271</v>
      </c>
      <c r="X29" s="6"/>
      <c r="Y29" s="6">
        <f t="shared" si="13"/>
        <v>157.57727272727271</v>
      </c>
      <c r="Z29" s="6"/>
      <c r="AA29" s="6">
        <f t="shared" si="14"/>
        <v>1890.9272727272721</v>
      </c>
      <c r="AB29" s="43">
        <f t="shared" si="14"/>
        <v>0</v>
      </c>
    </row>
    <row r="30" spans="1:28" ht="20.25" customHeight="1">
      <c r="A30" s="64" t="s">
        <v>45</v>
      </c>
      <c r="B30" s="7"/>
      <c r="C30" s="8">
        <f t="shared" ref="C30:AB30" si="15">SUM(C23:C29)</f>
        <v>22959.992727272725</v>
      </c>
      <c r="D30" s="8">
        <f>SUM(D23:D29)</f>
        <v>0</v>
      </c>
      <c r="E30" s="8">
        <f t="shared" si="15"/>
        <v>22959.992727272725</v>
      </c>
      <c r="F30" s="8">
        <f>SUM(F23:F29)</f>
        <v>0</v>
      </c>
      <c r="G30" s="8">
        <f t="shared" si="15"/>
        <v>22959.992727272725</v>
      </c>
      <c r="H30" s="8">
        <f>SUM(H23:H29)</f>
        <v>0</v>
      </c>
      <c r="I30" s="8">
        <f t="shared" si="15"/>
        <v>22959.992727272725</v>
      </c>
      <c r="J30" s="8">
        <f>SUM(J23:J29)</f>
        <v>0</v>
      </c>
      <c r="K30" s="8">
        <f t="shared" si="15"/>
        <v>22959.992727272725</v>
      </c>
      <c r="L30" s="8">
        <f>SUM(L23:L29)</f>
        <v>0</v>
      </c>
      <c r="M30" s="8">
        <f t="shared" si="15"/>
        <v>22959.992727272725</v>
      </c>
      <c r="N30" s="8">
        <f>SUM(N23:N29)</f>
        <v>0</v>
      </c>
      <c r="O30" s="8">
        <f t="shared" si="15"/>
        <v>22959.992727272725</v>
      </c>
      <c r="P30" s="8">
        <f>SUM(P23:P29)</f>
        <v>0</v>
      </c>
      <c r="Q30" s="8">
        <f t="shared" si="15"/>
        <v>22959.992727272725</v>
      </c>
      <c r="R30" s="8">
        <f>SUM(R23:R29)</f>
        <v>0</v>
      </c>
      <c r="S30" s="8">
        <f t="shared" si="15"/>
        <v>22959.992727272725</v>
      </c>
      <c r="T30" s="8">
        <f>SUM(T23:T29)</f>
        <v>0</v>
      </c>
      <c r="U30" s="8">
        <f t="shared" si="15"/>
        <v>22959.992727272725</v>
      </c>
      <c r="V30" s="8">
        <f>SUM(V23:V29)</f>
        <v>0</v>
      </c>
      <c r="W30" s="8">
        <f t="shared" si="15"/>
        <v>22959.992727272725</v>
      </c>
      <c r="X30" s="8">
        <f>SUM(X23:X29)</f>
        <v>0</v>
      </c>
      <c r="Y30" s="8">
        <f t="shared" si="15"/>
        <v>22959.992727272725</v>
      </c>
      <c r="Z30" s="8">
        <f t="shared" si="15"/>
        <v>0</v>
      </c>
      <c r="AA30" s="8">
        <f t="shared" si="15"/>
        <v>275519.91272727272</v>
      </c>
      <c r="AB30" s="61">
        <f t="shared" si="15"/>
        <v>0</v>
      </c>
    </row>
    <row r="31" spans="1:28" ht="26.65" customHeight="1">
      <c r="A31" s="63" t="s">
        <v>46</v>
      </c>
      <c r="B31" s="46"/>
      <c r="C31" s="29" t="s">
        <v>3</v>
      </c>
      <c r="D31" s="78">
        <f>D22</f>
        <v>43101</v>
      </c>
      <c r="E31" s="29" t="s">
        <v>4</v>
      </c>
      <c r="F31" s="78">
        <f>F22</f>
        <v>43132</v>
      </c>
      <c r="G31" s="29" t="s">
        <v>5</v>
      </c>
      <c r="H31" s="78">
        <f>H22</f>
        <v>43160</v>
      </c>
      <c r="I31" s="29" t="s">
        <v>6</v>
      </c>
      <c r="J31" s="78">
        <f>J22</f>
        <v>43191</v>
      </c>
      <c r="K31" s="29" t="s">
        <v>7</v>
      </c>
      <c r="L31" s="78">
        <f>L22</f>
        <v>43221</v>
      </c>
      <c r="M31" s="29" t="s">
        <v>8</v>
      </c>
      <c r="N31" s="78">
        <f>N22</f>
        <v>43252</v>
      </c>
      <c r="O31" s="29" t="s">
        <v>9</v>
      </c>
      <c r="P31" s="78">
        <f>P22</f>
        <v>43282</v>
      </c>
      <c r="Q31" s="29" t="s">
        <v>10</v>
      </c>
      <c r="R31" s="78">
        <f>R22</f>
        <v>43313</v>
      </c>
      <c r="S31" s="10" t="s">
        <v>11</v>
      </c>
      <c r="T31" s="78">
        <f>T22</f>
        <v>43344</v>
      </c>
      <c r="U31" s="10" t="s">
        <v>12</v>
      </c>
      <c r="V31" s="78">
        <f>V22</f>
        <v>43374</v>
      </c>
      <c r="W31" s="10" t="s">
        <v>13</v>
      </c>
      <c r="X31" s="78">
        <f>X22</f>
        <v>43405</v>
      </c>
      <c r="Y31" s="10" t="s">
        <v>14</v>
      </c>
      <c r="Z31" s="78">
        <f>Z22</f>
        <v>43435</v>
      </c>
      <c r="AA31" s="10" t="s">
        <v>37</v>
      </c>
      <c r="AB31" s="40" t="str">
        <f>AB22</f>
        <v>TOTAL 2018</v>
      </c>
    </row>
    <row r="32" spans="1:28" ht="20.25" customHeight="1">
      <c r="A32" s="47" t="s">
        <v>47</v>
      </c>
      <c r="B32" s="49"/>
      <c r="C32" s="6">
        <v>3058.57</v>
      </c>
      <c r="D32" s="6"/>
      <c r="E32" s="6">
        <f t="shared" ref="E32:E38" si="16">C32</f>
        <v>3058.57</v>
      </c>
      <c r="F32" s="6"/>
      <c r="G32" s="6">
        <f t="shared" ref="G32:G38" si="17">E32</f>
        <v>3058.57</v>
      </c>
      <c r="H32" s="6"/>
      <c r="I32" s="6">
        <f t="shared" ref="I32:I37" si="18">G32</f>
        <v>3058.57</v>
      </c>
      <c r="J32" s="6"/>
      <c r="K32" s="6">
        <f t="shared" ref="K32:K38" si="19">I32</f>
        <v>3058.57</v>
      </c>
      <c r="L32" s="6"/>
      <c r="M32" s="6">
        <f t="shared" ref="M32:M38" si="20">K32</f>
        <v>3058.57</v>
      </c>
      <c r="N32" s="6"/>
      <c r="O32" s="6">
        <f t="shared" ref="O32:O38" si="21">M32</f>
        <v>3058.57</v>
      </c>
      <c r="P32" s="6"/>
      <c r="Q32" s="6">
        <f t="shared" ref="Q32:Q38" si="22">O32</f>
        <v>3058.57</v>
      </c>
      <c r="R32" s="6"/>
      <c r="S32" s="6">
        <f t="shared" ref="S32:S38" si="23">Q32</f>
        <v>3058.57</v>
      </c>
      <c r="T32" s="6"/>
      <c r="U32" s="6">
        <f t="shared" ref="U32:U38" si="24">S32</f>
        <v>3058.57</v>
      </c>
      <c r="V32" s="6"/>
      <c r="W32" s="6">
        <f t="shared" ref="W32:W38" si="25">U32</f>
        <v>3058.57</v>
      </c>
      <c r="X32" s="6"/>
      <c r="Y32" s="6">
        <f t="shared" ref="Y32:Y38" si="26">W32</f>
        <v>3058.57</v>
      </c>
      <c r="Z32" s="6"/>
      <c r="AA32" s="6">
        <f t="shared" ref="AA32:AB38" si="27">SUM(C32+E32+G32+I32+K32+M32+O32+Q32+S32+U32+W32+Y32)</f>
        <v>36702.840000000004</v>
      </c>
      <c r="AB32" s="43">
        <f t="shared" si="27"/>
        <v>0</v>
      </c>
    </row>
    <row r="33" spans="1:28" ht="20.25" customHeight="1">
      <c r="A33" s="47" t="s">
        <v>48</v>
      </c>
      <c r="B33" s="49"/>
      <c r="C33" s="6">
        <v>3900.6</v>
      </c>
      <c r="D33" s="6"/>
      <c r="E33" s="6">
        <f t="shared" si="16"/>
        <v>3900.6</v>
      </c>
      <c r="F33" s="6"/>
      <c r="G33" s="6">
        <f t="shared" si="17"/>
        <v>3900.6</v>
      </c>
      <c r="H33" s="6"/>
      <c r="I33" s="6">
        <f t="shared" si="18"/>
        <v>3900.6</v>
      </c>
      <c r="J33" s="6"/>
      <c r="K33" s="6">
        <f t="shared" si="19"/>
        <v>3900.6</v>
      </c>
      <c r="L33" s="6"/>
      <c r="M33" s="6">
        <f t="shared" si="20"/>
        <v>3900.6</v>
      </c>
      <c r="N33" s="6"/>
      <c r="O33" s="6">
        <f t="shared" si="21"/>
        <v>3900.6</v>
      </c>
      <c r="P33" s="6"/>
      <c r="Q33" s="6">
        <f t="shared" si="22"/>
        <v>3900.6</v>
      </c>
      <c r="R33" s="6"/>
      <c r="S33" s="6">
        <f t="shared" si="23"/>
        <v>3900.6</v>
      </c>
      <c r="T33" s="6"/>
      <c r="U33" s="6">
        <f t="shared" si="24"/>
        <v>3900.6</v>
      </c>
      <c r="V33" s="6"/>
      <c r="W33" s="6">
        <f t="shared" si="25"/>
        <v>3900.6</v>
      </c>
      <c r="X33" s="6"/>
      <c r="Y33" s="6">
        <f t="shared" si="26"/>
        <v>3900.6</v>
      </c>
      <c r="Z33" s="6"/>
      <c r="AA33" s="6">
        <f t="shared" si="27"/>
        <v>46807.19999999999</v>
      </c>
      <c r="AB33" s="43">
        <f t="shared" si="27"/>
        <v>0</v>
      </c>
    </row>
    <row r="34" spans="1:28" ht="20.25" customHeight="1">
      <c r="A34" s="47" t="s">
        <v>49</v>
      </c>
      <c r="B34" s="49"/>
      <c r="C34" s="6">
        <f>76108.73*1.1778</f>
        <v>89640.862193999987</v>
      </c>
      <c r="D34" s="6"/>
      <c r="E34" s="6">
        <f t="shared" si="16"/>
        <v>89640.862193999987</v>
      </c>
      <c r="F34" s="6"/>
      <c r="G34" s="6">
        <f t="shared" si="17"/>
        <v>89640.862193999987</v>
      </c>
      <c r="H34" s="6"/>
      <c r="I34" s="6">
        <f t="shared" si="18"/>
        <v>89640.862193999987</v>
      </c>
      <c r="J34" s="6"/>
      <c r="K34" s="6">
        <f t="shared" si="19"/>
        <v>89640.862193999987</v>
      </c>
      <c r="L34" s="6"/>
      <c r="M34" s="6">
        <f t="shared" si="20"/>
        <v>89640.862193999987</v>
      </c>
      <c r="N34" s="6"/>
      <c r="O34" s="6">
        <f t="shared" si="21"/>
        <v>89640.862193999987</v>
      </c>
      <c r="P34" s="6"/>
      <c r="Q34" s="6">
        <f t="shared" si="22"/>
        <v>89640.862193999987</v>
      </c>
      <c r="R34" s="6"/>
      <c r="S34" s="6">
        <f t="shared" si="23"/>
        <v>89640.862193999987</v>
      </c>
      <c r="T34" s="6"/>
      <c r="U34" s="6">
        <f t="shared" si="24"/>
        <v>89640.862193999987</v>
      </c>
      <c r="V34" s="6"/>
      <c r="W34" s="6">
        <f t="shared" si="25"/>
        <v>89640.862193999987</v>
      </c>
      <c r="X34" s="6"/>
      <c r="Y34" s="6">
        <f t="shared" si="26"/>
        <v>89640.862193999987</v>
      </c>
      <c r="Z34" s="6"/>
      <c r="AA34" s="6">
        <f t="shared" si="27"/>
        <v>1075690.3463280001</v>
      </c>
      <c r="AB34" s="43">
        <f t="shared" si="27"/>
        <v>0</v>
      </c>
    </row>
    <row r="35" spans="1:28" ht="20.25" customHeight="1">
      <c r="A35" s="47" t="s">
        <v>50</v>
      </c>
      <c r="B35" s="49"/>
      <c r="C35" s="6">
        <v>7755.25</v>
      </c>
      <c r="D35" s="6"/>
      <c r="E35" s="6">
        <f t="shared" si="16"/>
        <v>7755.25</v>
      </c>
      <c r="F35" s="6"/>
      <c r="G35" s="6">
        <f t="shared" si="17"/>
        <v>7755.25</v>
      </c>
      <c r="H35" s="6"/>
      <c r="I35" s="6">
        <f t="shared" si="18"/>
        <v>7755.25</v>
      </c>
      <c r="J35" s="6"/>
      <c r="K35" s="6">
        <f t="shared" si="19"/>
        <v>7755.25</v>
      </c>
      <c r="L35" s="6"/>
      <c r="M35" s="6">
        <f t="shared" si="20"/>
        <v>7755.25</v>
      </c>
      <c r="N35" s="6"/>
      <c r="O35" s="6">
        <f t="shared" si="21"/>
        <v>7755.25</v>
      </c>
      <c r="P35" s="6"/>
      <c r="Q35" s="6">
        <f t="shared" si="22"/>
        <v>7755.25</v>
      </c>
      <c r="R35" s="6"/>
      <c r="S35" s="6">
        <f t="shared" si="23"/>
        <v>7755.25</v>
      </c>
      <c r="T35" s="6"/>
      <c r="U35" s="6">
        <f t="shared" si="24"/>
        <v>7755.25</v>
      </c>
      <c r="V35" s="6"/>
      <c r="W35" s="6">
        <f t="shared" si="25"/>
        <v>7755.25</v>
      </c>
      <c r="X35" s="6"/>
      <c r="Y35" s="6">
        <f t="shared" si="26"/>
        <v>7755.25</v>
      </c>
      <c r="Z35" s="6"/>
      <c r="AA35" s="6">
        <f t="shared" si="27"/>
        <v>93063</v>
      </c>
      <c r="AB35" s="43">
        <f t="shared" si="27"/>
        <v>0</v>
      </c>
    </row>
    <row r="36" spans="1:28" ht="20.25" customHeight="1">
      <c r="A36" s="47" t="s">
        <v>51</v>
      </c>
      <c r="B36" s="77" t="s">
        <v>52</v>
      </c>
      <c r="C36" s="6">
        <v>7900.26</v>
      </c>
      <c r="D36" s="75">
        <f>6500</f>
        <v>6500</v>
      </c>
      <c r="E36" s="6">
        <f t="shared" si="16"/>
        <v>7900.26</v>
      </c>
      <c r="F36" s="75">
        <f>6500</f>
        <v>6500</v>
      </c>
      <c r="G36" s="6">
        <f t="shared" si="17"/>
        <v>7900.26</v>
      </c>
      <c r="H36" s="75">
        <f>6500</f>
        <v>6500</v>
      </c>
      <c r="I36" s="6">
        <f t="shared" si="18"/>
        <v>7900.26</v>
      </c>
      <c r="J36" s="75">
        <f>6500</f>
        <v>6500</v>
      </c>
      <c r="K36" s="6">
        <f t="shared" si="19"/>
        <v>7900.26</v>
      </c>
      <c r="L36" s="75">
        <f>6500</f>
        <v>6500</v>
      </c>
      <c r="M36" s="6">
        <f t="shared" si="20"/>
        <v>7900.26</v>
      </c>
      <c r="N36" s="75">
        <f>6500</f>
        <v>6500</v>
      </c>
      <c r="O36" s="6">
        <f t="shared" si="21"/>
        <v>7900.26</v>
      </c>
      <c r="P36" s="75">
        <f>6500</f>
        <v>6500</v>
      </c>
      <c r="Q36" s="6">
        <f t="shared" si="22"/>
        <v>7900.26</v>
      </c>
      <c r="R36" s="75">
        <f>6500</f>
        <v>6500</v>
      </c>
      <c r="S36" s="6">
        <f t="shared" si="23"/>
        <v>7900.26</v>
      </c>
      <c r="T36" s="75">
        <f>6500</f>
        <v>6500</v>
      </c>
      <c r="U36" s="6">
        <f t="shared" si="24"/>
        <v>7900.26</v>
      </c>
      <c r="V36" s="75">
        <f>6500</f>
        <v>6500</v>
      </c>
      <c r="W36" s="6">
        <f t="shared" si="25"/>
        <v>7900.26</v>
      </c>
      <c r="X36" s="75">
        <f>6500</f>
        <v>6500</v>
      </c>
      <c r="Y36" s="6">
        <f t="shared" si="26"/>
        <v>7900.26</v>
      </c>
      <c r="Z36" s="75">
        <f>6500</f>
        <v>6500</v>
      </c>
      <c r="AA36" s="6">
        <f t="shared" si="27"/>
        <v>94803.12</v>
      </c>
      <c r="AB36" s="43">
        <f t="shared" si="27"/>
        <v>78000</v>
      </c>
    </row>
    <row r="37" spans="1:28" ht="20.25" customHeight="1">
      <c r="A37" s="47" t="s">
        <v>53</v>
      </c>
      <c r="B37" s="49"/>
      <c r="C37" s="6">
        <v>7295</v>
      </c>
      <c r="D37" s="6"/>
      <c r="E37" s="6">
        <f t="shared" si="16"/>
        <v>7295</v>
      </c>
      <c r="F37" s="6"/>
      <c r="G37" s="6">
        <f t="shared" si="17"/>
        <v>7295</v>
      </c>
      <c r="H37" s="6"/>
      <c r="I37" s="6">
        <f t="shared" si="18"/>
        <v>7295</v>
      </c>
      <c r="J37" s="6"/>
      <c r="K37" s="6">
        <f t="shared" si="19"/>
        <v>7295</v>
      </c>
      <c r="L37" s="6"/>
      <c r="M37" s="6">
        <f t="shared" si="20"/>
        <v>7295</v>
      </c>
      <c r="N37" s="6"/>
      <c r="O37" s="6">
        <f t="shared" si="21"/>
        <v>7295</v>
      </c>
      <c r="P37" s="6"/>
      <c r="Q37" s="6">
        <f t="shared" si="22"/>
        <v>7295</v>
      </c>
      <c r="R37" s="6"/>
      <c r="S37" s="6">
        <f t="shared" si="23"/>
        <v>7295</v>
      </c>
      <c r="T37" s="6"/>
      <c r="U37" s="6">
        <f t="shared" si="24"/>
        <v>7295</v>
      </c>
      <c r="V37" s="6"/>
      <c r="W37" s="6">
        <f t="shared" si="25"/>
        <v>7295</v>
      </c>
      <c r="X37" s="6"/>
      <c r="Y37" s="6">
        <f t="shared" si="26"/>
        <v>7295</v>
      </c>
      <c r="Z37" s="6"/>
      <c r="AA37" s="6">
        <f t="shared" si="27"/>
        <v>87540</v>
      </c>
      <c r="AB37" s="43">
        <f t="shared" si="27"/>
        <v>0</v>
      </c>
    </row>
    <row r="38" spans="1:28" ht="20.25" customHeight="1">
      <c r="A38" s="47" t="s">
        <v>54</v>
      </c>
      <c r="C38" s="6">
        <v>26393.91</v>
      </c>
      <c r="D38" s="6"/>
      <c r="E38" s="6">
        <f t="shared" si="16"/>
        <v>26393.91</v>
      </c>
      <c r="F38" s="6"/>
      <c r="G38" s="36">
        <f t="shared" si="17"/>
        <v>26393.91</v>
      </c>
      <c r="H38" s="6"/>
      <c r="I38" s="6">
        <f>G38*1.07</f>
        <v>28241.483700000001</v>
      </c>
      <c r="J38" s="6"/>
      <c r="K38" s="6">
        <f t="shared" si="19"/>
        <v>28241.483700000001</v>
      </c>
      <c r="L38" s="6"/>
      <c r="M38" s="6">
        <f t="shared" si="20"/>
        <v>28241.483700000001</v>
      </c>
      <c r="N38" s="6"/>
      <c r="O38" s="6">
        <f t="shared" si="21"/>
        <v>28241.483700000001</v>
      </c>
      <c r="P38" s="6"/>
      <c r="Q38" s="6">
        <f t="shared" si="22"/>
        <v>28241.483700000001</v>
      </c>
      <c r="R38" s="6"/>
      <c r="S38" s="6">
        <f t="shared" si="23"/>
        <v>28241.483700000001</v>
      </c>
      <c r="T38" s="6"/>
      <c r="U38" s="6">
        <f t="shared" si="24"/>
        <v>28241.483700000001</v>
      </c>
      <c r="V38" s="6"/>
      <c r="W38" s="6">
        <f t="shared" si="25"/>
        <v>28241.483700000001</v>
      </c>
      <c r="X38" s="6"/>
      <c r="Y38" s="6">
        <f t="shared" si="26"/>
        <v>28241.483700000001</v>
      </c>
      <c r="Z38" s="6"/>
      <c r="AA38" s="6">
        <f t="shared" si="27"/>
        <v>333355.0833</v>
      </c>
      <c r="AB38" s="43">
        <f t="shared" si="27"/>
        <v>0</v>
      </c>
    </row>
    <row r="39" spans="1:28" ht="20.25" customHeight="1">
      <c r="A39" s="64" t="s">
        <v>55</v>
      </c>
      <c r="B39" s="7"/>
      <c r="C39" s="8">
        <f t="shared" ref="C39:AB39" si="28">SUM(C32:C38)</f>
        <v>145944.45219399998</v>
      </c>
      <c r="D39" s="8">
        <f>SUM(D32:D38)</f>
        <v>6500</v>
      </c>
      <c r="E39" s="8">
        <f t="shared" si="28"/>
        <v>145944.45219399998</v>
      </c>
      <c r="F39" s="8">
        <f>SUM(F32:F38)</f>
        <v>6500</v>
      </c>
      <c r="G39" s="8">
        <f t="shared" si="28"/>
        <v>145944.45219399998</v>
      </c>
      <c r="H39" s="8">
        <f>SUM(H32:H38)</f>
        <v>6500</v>
      </c>
      <c r="I39" s="8">
        <f t="shared" si="28"/>
        <v>147792.02589399999</v>
      </c>
      <c r="J39" s="8">
        <f>SUM(J32:J38)</f>
        <v>6500</v>
      </c>
      <c r="K39" s="8">
        <f t="shared" si="28"/>
        <v>147792.02589399999</v>
      </c>
      <c r="L39" s="8">
        <f>SUM(L32:L38)</f>
        <v>6500</v>
      </c>
      <c r="M39" s="8">
        <f t="shared" si="28"/>
        <v>147792.02589399999</v>
      </c>
      <c r="N39" s="8">
        <f>SUM(N32:N38)</f>
        <v>6500</v>
      </c>
      <c r="O39" s="8">
        <f t="shared" si="28"/>
        <v>147792.02589399999</v>
      </c>
      <c r="P39" s="8">
        <f>SUM(P32:P38)</f>
        <v>6500</v>
      </c>
      <c r="Q39" s="8">
        <f t="shared" si="28"/>
        <v>147792.02589399999</v>
      </c>
      <c r="R39" s="8">
        <f>SUM(R32:R38)</f>
        <v>6500</v>
      </c>
      <c r="S39" s="8">
        <f t="shared" si="28"/>
        <v>147792.02589399999</v>
      </c>
      <c r="T39" s="8">
        <f>SUM(T32:T38)</f>
        <v>6500</v>
      </c>
      <c r="U39" s="8">
        <f t="shared" si="28"/>
        <v>147792.02589399999</v>
      </c>
      <c r="V39" s="8">
        <f>SUM(V32:V38)</f>
        <v>6500</v>
      </c>
      <c r="W39" s="8">
        <f t="shared" si="28"/>
        <v>147792.02589399999</v>
      </c>
      <c r="X39" s="8">
        <f>SUM(X32:X38)</f>
        <v>6500</v>
      </c>
      <c r="Y39" s="8">
        <f t="shared" si="28"/>
        <v>147792.02589399999</v>
      </c>
      <c r="Z39" s="8">
        <f t="shared" si="28"/>
        <v>6500</v>
      </c>
      <c r="AA39" s="8">
        <f t="shared" si="28"/>
        <v>1767961.5896280003</v>
      </c>
      <c r="AB39" s="61">
        <f t="shared" si="28"/>
        <v>78000</v>
      </c>
    </row>
    <row r="40" spans="1:28" ht="28.5" customHeight="1">
      <c r="A40" s="66" t="s">
        <v>56</v>
      </c>
      <c r="B40" s="50"/>
      <c r="C40" s="29" t="s">
        <v>3</v>
      </c>
      <c r="D40" s="78">
        <f>D31</f>
        <v>43101</v>
      </c>
      <c r="E40" s="29" t="s">
        <v>4</v>
      </c>
      <c r="F40" s="78">
        <f>F31</f>
        <v>43132</v>
      </c>
      <c r="G40" s="29" t="s">
        <v>5</v>
      </c>
      <c r="H40" s="78">
        <f>H31</f>
        <v>43160</v>
      </c>
      <c r="I40" s="29" t="s">
        <v>6</v>
      </c>
      <c r="J40" s="78">
        <f>J31</f>
        <v>43191</v>
      </c>
      <c r="K40" s="29" t="s">
        <v>7</v>
      </c>
      <c r="L40" s="78">
        <f>L31</f>
        <v>43221</v>
      </c>
      <c r="M40" s="29" t="s">
        <v>8</v>
      </c>
      <c r="N40" s="78">
        <f>N31</f>
        <v>43252</v>
      </c>
      <c r="O40" s="29" t="s">
        <v>9</v>
      </c>
      <c r="P40" s="78">
        <f>P31</f>
        <v>43282</v>
      </c>
      <c r="Q40" s="29" t="s">
        <v>10</v>
      </c>
      <c r="R40" s="78">
        <f>R31</f>
        <v>43313</v>
      </c>
      <c r="S40" s="10" t="s">
        <v>11</v>
      </c>
      <c r="T40" s="78">
        <f>T31</f>
        <v>43344</v>
      </c>
      <c r="U40" s="10" t="s">
        <v>12</v>
      </c>
      <c r="V40" s="78">
        <f>V31</f>
        <v>43374</v>
      </c>
      <c r="W40" s="10" t="s">
        <v>13</v>
      </c>
      <c r="X40" s="78">
        <f>X31</f>
        <v>43405</v>
      </c>
      <c r="Y40" s="10" t="s">
        <v>14</v>
      </c>
      <c r="Z40" s="78">
        <f>Z31</f>
        <v>43435</v>
      </c>
      <c r="AA40" s="10" t="s">
        <v>37</v>
      </c>
      <c r="AB40" s="40" t="str">
        <f>AB31</f>
        <v>TOTAL 2018</v>
      </c>
    </row>
    <row r="41" spans="1:28" ht="20.25" customHeight="1">
      <c r="A41" s="47" t="s">
        <v>57</v>
      </c>
      <c r="C41" s="6">
        <v>19584.98</v>
      </c>
      <c r="D41" s="6"/>
      <c r="E41" s="6">
        <f>C41</f>
        <v>19584.98</v>
      </c>
      <c r="F41" s="6"/>
      <c r="G41" s="6">
        <f>E41</f>
        <v>19584.98</v>
      </c>
      <c r="H41" s="6"/>
      <c r="I41" s="6">
        <f>G41</f>
        <v>19584.98</v>
      </c>
      <c r="J41" s="6"/>
      <c r="K41" s="6">
        <f>I41</f>
        <v>19584.98</v>
      </c>
      <c r="L41" s="6"/>
      <c r="M41" s="6">
        <f>K41</f>
        <v>19584.98</v>
      </c>
      <c r="N41" s="6"/>
      <c r="O41" s="6">
        <f>M41</f>
        <v>19584.98</v>
      </c>
      <c r="P41" s="6"/>
      <c r="Q41" s="6">
        <f>O41</f>
        <v>19584.98</v>
      </c>
      <c r="R41" s="6"/>
      <c r="S41" s="6">
        <f>Q41</f>
        <v>19584.98</v>
      </c>
      <c r="T41" s="6"/>
      <c r="U41" s="6">
        <f>S41</f>
        <v>19584.98</v>
      </c>
      <c r="V41" s="6"/>
      <c r="W41" s="6">
        <f>U41</f>
        <v>19584.98</v>
      </c>
      <c r="X41" s="6"/>
      <c r="Y41" s="6">
        <f>W41</f>
        <v>19584.98</v>
      </c>
      <c r="Z41" s="6"/>
      <c r="AA41" s="6">
        <f>SUM(C41+E41+G41+I41+K41+M41+O41+Q41+S41+U41+W41+Y41)</f>
        <v>235019.76000000004</v>
      </c>
      <c r="AB41" s="43">
        <f>SUM(D41+F41+H41+J41+L41+N41+P41+R41+T41+V41+X41+Z41)</f>
        <v>0</v>
      </c>
    </row>
    <row r="42" spans="1:28" ht="20.25" customHeight="1">
      <c r="A42" s="64" t="s">
        <v>58</v>
      </c>
      <c r="B42" s="7"/>
      <c r="C42" s="8">
        <f>C41</f>
        <v>19584.98</v>
      </c>
      <c r="D42" s="8">
        <f t="shared" ref="D42:AB42" si="29">D41</f>
        <v>0</v>
      </c>
      <c r="E42" s="8">
        <f t="shared" si="29"/>
        <v>19584.98</v>
      </c>
      <c r="F42" s="8">
        <f t="shared" si="29"/>
        <v>0</v>
      </c>
      <c r="G42" s="8">
        <f t="shared" si="29"/>
        <v>19584.98</v>
      </c>
      <c r="H42" s="8">
        <f t="shared" si="29"/>
        <v>0</v>
      </c>
      <c r="I42" s="8">
        <f t="shared" si="29"/>
        <v>19584.98</v>
      </c>
      <c r="J42" s="8">
        <f t="shared" si="29"/>
        <v>0</v>
      </c>
      <c r="K42" s="8">
        <f t="shared" si="29"/>
        <v>19584.98</v>
      </c>
      <c r="L42" s="8">
        <f t="shared" si="29"/>
        <v>0</v>
      </c>
      <c r="M42" s="8">
        <f t="shared" si="29"/>
        <v>19584.98</v>
      </c>
      <c r="N42" s="8">
        <f t="shared" si="29"/>
        <v>0</v>
      </c>
      <c r="O42" s="8">
        <f t="shared" si="29"/>
        <v>19584.98</v>
      </c>
      <c r="P42" s="8">
        <f t="shared" si="29"/>
        <v>0</v>
      </c>
      <c r="Q42" s="8">
        <f t="shared" si="29"/>
        <v>19584.98</v>
      </c>
      <c r="R42" s="8">
        <f t="shared" si="29"/>
        <v>0</v>
      </c>
      <c r="S42" s="8">
        <f t="shared" si="29"/>
        <v>19584.98</v>
      </c>
      <c r="T42" s="8">
        <f t="shared" si="29"/>
        <v>0</v>
      </c>
      <c r="U42" s="8">
        <f t="shared" si="29"/>
        <v>19584.98</v>
      </c>
      <c r="V42" s="8">
        <f t="shared" si="29"/>
        <v>0</v>
      </c>
      <c r="W42" s="8">
        <f t="shared" si="29"/>
        <v>19584.98</v>
      </c>
      <c r="X42" s="8">
        <f t="shared" si="29"/>
        <v>0</v>
      </c>
      <c r="Y42" s="8">
        <f t="shared" si="29"/>
        <v>19584.98</v>
      </c>
      <c r="Z42" s="8">
        <f t="shared" si="29"/>
        <v>0</v>
      </c>
      <c r="AA42" s="8">
        <f t="shared" si="29"/>
        <v>235019.76000000004</v>
      </c>
      <c r="AB42" s="61">
        <f t="shared" si="29"/>
        <v>0</v>
      </c>
    </row>
    <row r="43" spans="1:28" ht="25.5" customHeight="1">
      <c r="A43" s="63" t="s">
        <v>59</v>
      </c>
      <c r="B43" s="46"/>
      <c r="C43" s="29" t="s">
        <v>3</v>
      </c>
      <c r="D43" s="78">
        <f>D40</f>
        <v>43101</v>
      </c>
      <c r="E43" s="29" t="s">
        <v>4</v>
      </c>
      <c r="F43" s="78">
        <f>F40</f>
        <v>43132</v>
      </c>
      <c r="G43" s="29" t="s">
        <v>5</v>
      </c>
      <c r="H43" s="78">
        <f>H40</f>
        <v>43160</v>
      </c>
      <c r="I43" s="29" t="s">
        <v>6</v>
      </c>
      <c r="J43" s="78">
        <f>J40</f>
        <v>43191</v>
      </c>
      <c r="K43" s="29" t="s">
        <v>7</v>
      </c>
      <c r="L43" s="78">
        <f>L40</f>
        <v>43221</v>
      </c>
      <c r="M43" s="29" t="s">
        <v>8</v>
      </c>
      <c r="N43" s="78">
        <f>N40</f>
        <v>43252</v>
      </c>
      <c r="O43" s="29" t="s">
        <v>9</v>
      </c>
      <c r="P43" s="78">
        <f>P40</f>
        <v>43282</v>
      </c>
      <c r="Q43" s="29" t="s">
        <v>10</v>
      </c>
      <c r="R43" s="78">
        <f>R40</f>
        <v>43313</v>
      </c>
      <c r="S43" s="10" t="s">
        <v>11</v>
      </c>
      <c r="T43" s="78">
        <f>T40</f>
        <v>43344</v>
      </c>
      <c r="U43" s="10" t="s">
        <v>12</v>
      </c>
      <c r="V43" s="78">
        <f>V40</f>
        <v>43374</v>
      </c>
      <c r="W43" s="10" t="s">
        <v>13</v>
      </c>
      <c r="X43" s="78">
        <f>X40</f>
        <v>43405</v>
      </c>
      <c r="Y43" s="10" t="s">
        <v>14</v>
      </c>
      <c r="Z43" s="78">
        <f>Z40</f>
        <v>43435</v>
      </c>
      <c r="AA43" s="10" t="s">
        <v>37</v>
      </c>
      <c r="AB43" s="40" t="str">
        <f>AB40</f>
        <v>TOTAL 2018</v>
      </c>
    </row>
    <row r="44" spans="1:28" ht="20.25" customHeight="1">
      <c r="A44" s="47" t="s">
        <v>60</v>
      </c>
      <c r="B44" s="60" t="s">
        <v>61</v>
      </c>
      <c r="C44" s="6">
        <v>1913.89</v>
      </c>
      <c r="D44" s="75">
        <v>1952.17</v>
      </c>
      <c r="E44" s="6">
        <v>1913.89</v>
      </c>
      <c r="F44" s="75">
        <v>1952.17</v>
      </c>
      <c r="G44" s="6">
        <v>1913.89</v>
      </c>
      <c r="H44" s="75">
        <v>1952.17</v>
      </c>
      <c r="I44" s="6">
        <v>1913.89</v>
      </c>
      <c r="J44" s="75">
        <v>1952.17</v>
      </c>
      <c r="K44" s="6">
        <v>1913.89</v>
      </c>
      <c r="L44" s="75">
        <v>1952.17</v>
      </c>
      <c r="M44" s="6">
        <v>1913.89</v>
      </c>
      <c r="N44" s="75">
        <v>1952.17</v>
      </c>
      <c r="O44" s="6">
        <v>1913.89</v>
      </c>
      <c r="P44" s="75">
        <v>1952.17</v>
      </c>
      <c r="Q44" s="6">
        <v>1913.89</v>
      </c>
      <c r="R44" s="75">
        <v>1952.17</v>
      </c>
      <c r="S44" s="6">
        <v>1913.89</v>
      </c>
      <c r="T44" s="75">
        <v>1952.17</v>
      </c>
      <c r="U44" s="6">
        <v>1913.89</v>
      </c>
      <c r="V44" s="75">
        <v>1952.17</v>
      </c>
      <c r="W44" s="6">
        <v>1913.89</v>
      </c>
      <c r="X44" s="75">
        <v>1952.17</v>
      </c>
      <c r="Y44" s="6">
        <v>1952.17</v>
      </c>
      <c r="Z44" s="75">
        <v>1952.17</v>
      </c>
      <c r="AA44" s="6">
        <f t="shared" ref="AA44:AB51" si="30">SUM(C44+E44+G44+I44+K44+M44+O44+Q44+S44+U44+W44+Y44)</f>
        <v>23004.959999999999</v>
      </c>
      <c r="AB44" s="43">
        <f t="shared" si="30"/>
        <v>23426.039999999994</v>
      </c>
    </row>
    <row r="45" spans="1:28" ht="20.25" customHeight="1">
      <c r="A45" s="47" t="s">
        <v>62</v>
      </c>
      <c r="C45" s="6">
        <v>4850.25</v>
      </c>
      <c r="D45" s="75">
        <v>5787.5</v>
      </c>
      <c r="E45" s="6">
        <f>C45</f>
        <v>4850.25</v>
      </c>
      <c r="F45" s="75">
        <v>5787.5</v>
      </c>
      <c r="G45" s="6">
        <f>E45</f>
        <v>4850.25</v>
      </c>
      <c r="H45" s="75">
        <v>5787.5</v>
      </c>
      <c r="I45" s="6">
        <f>G45</f>
        <v>4850.25</v>
      </c>
      <c r="J45" s="75">
        <v>5787.5</v>
      </c>
      <c r="K45" s="6">
        <f>I45</f>
        <v>4850.25</v>
      </c>
      <c r="L45" s="75">
        <v>5787.5</v>
      </c>
      <c r="M45" s="6">
        <f>K45</f>
        <v>4850.25</v>
      </c>
      <c r="N45" s="75">
        <v>5787.5</v>
      </c>
      <c r="O45" s="6">
        <f>M45</f>
        <v>4850.25</v>
      </c>
      <c r="P45" s="75">
        <v>5787.5</v>
      </c>
      <c r="Q45" s="6">
        <f>O45</f>
        <v>4850.25</v>
      </c>
      <c r="R45" s="75">
        <v>5787.5</v>
      </c>
      <c r="S45" s="6">
        <f>Q45</f>
        <v>4850.25</v>
      </c>
      <c r="T45" s="75">
        <v>5787.5</v>
      </c>
      <c r="U45" s="6">
        <f>S45</f>
        <v>4850.25</v>
      </c>
      <c r="V45" s="75">
        <v>5787.5</v>
      </c>
      <c r="W45" s="6">
        <f>U45</f>
        <v>4850.25</v>
      </c>
      <c r="X45" s="75">
        <v>5787.5</v>
      </c>
      <c r="Y45" s="6">
        <f>W45</f>
        <v>4850.25</v>
      </c>
      <c r="Z45" s="75">
        <v>5787.5</v>
      </c>
      <c r="AA45" s="6">
        <f t="shared" si="30"/>
        <v>58203</v>
      </c>
      <c r="AB45" s="43">
        <f t="shared" si="30"/>
        <v>69450</v>
      </c>
    </row>
    <row r="46" spans="1:28" ht="20.25" customHeight="1">
      <c r="A46" s="47" t="s">
        <v>63</v>
      </c>
      <c r="B46" s="47"/>
      <c r="C46" s="6">
        <v>1523.86</v>
      </c>
      <c r="D46" s="6"/>
      <c r="E46" s="6"/>
      <c r="F46" s="6"/>
      <c r="G46" s="6">
        <v>1287.23</v>
      </c>
      <c r="H46" s="6"/>
      <c r="I46" s="6">
        <v>0</v>
      </c>
      <c r="J46" s="6"/>
      <c r="K46" s="6">
        <v>0</v>
      </c>
      <c r="L46" s="6"/>
      <c r="M46" s="6">
        <v>4393.04</v>
      </c>
      <c r="N46" s="6"/>
      <c r="O46" s="6">
        <v>0</v>
      </c>
      <c r="P46" s="6"/>
      <c r="Q46" s="6">
        <v>0</v>
      </c>
      <c r="R46" s="6"/>
      <c r="S46" s="6">
        <f>1255.21</f>
        <v>1255.21</v>
      </c>
      <c r="T46" s="6"/>
      <c r="U46" s="6">
        <v>0</v>
      </c>
      <c r="V46" s="6"/>
      <c r="W46" s="6">
        <v>0</v>
      </c>
      <c r="X46" s="6"/>
      <c r="Y46" s="6">
        <v>0</v>
      </c>
      <c r="Z46" s="6"/>
      <c r="AA46" s="6">
        <f t="shared" si="30"/>
        <v>8459.34</v>
      </c>
      <c r="AB46" s="43">
        <f t="shared" si="30"/>
        <v>0</v>
      </c>
    </row>
    <row r="47" spans="1:28" ht="20.25" customHeight="1">
      <c r="A47" s="47" t="s">
        <v>64</v>
      </c>
      <c r="B47" s="60" t="s">
        <v>65</v>
      </c>
      <c r="C47" s="6">
        <v>2200.86</v>
      </c>
      <c r="D47" s="75">
        <v>2400</v>
      </c>
      <c r="E47" s="6">
        <v>2200.86</v>
      </c>
      <c r="F47" s="75">
        <f>D47</f>
        <v>2400</v>
      </c>
      <c r="G47" s="6">
        <v>2200.86</v>
      </c>
      <c r="H47" s="75">
        <f>F47</f>
        <v>2400</v>
      </c>
      <c r="I47" s="36">
        <v>2400</v>
      </c>
      <c r="J47" s="75">
        <v>2448</v>
      </c>
      <c r="K47" s="6">
        <f>I47</f>
        <v>2400</v>
      </c>
      <c r="L47" s="75">
        <f>J47</f>
        <v>2448</v>
      </c>
      <c r="M47" s="6">
        <f>I47</f>
        <v>2400</v>
      </c>
      <c r="N47" s="75">
        <f>L47</f>
        <v>2448</v>
      </c>
      <c r="O47" s="6">
        <f>I47</f>
        <v>2400</v>
      </c>
      <c r="P47" s="75">
        <f>N47</f>
        <v>2448</v>
      </c>
      <c r="Q47" s="6">
        <f>I47</f>
        <v>2400</v>
      </c>
      <c r="R47" s="75">
        <f>P47</f>
        <v>2448</v>
      </c>
      <c r="S47" s="6">
        <f>I47</f>
        <v>2400</v>
      </c>
      <c r="T47" s="75">
        <f>R47</f>
        <v>2448</v>
      </c>
      <c r="U47" s="6">
        <f>I47</f>
        <v>2400</v>
      </c>
      <c r="V47" s="75">
        <f>T47</f>
        <v>2448</v>
      </c>
      <c r="W47" s="6">
        <f>I47</f>
        <v>2400</v>
      </c>
      <c r="X47" s="75">
        <f>V47</f>
        <v>2448</v>
      </c>
      <c r="Y47" s="6">
        <f>I47</f>
        <v>2400</v>
      </c>
      <c r="Z47" s="75">
        <f>X47</f>
        <v>2448</v>
      </c>
      <c r="AA47" s="6">
        <f t="shared" si="30"/>
        <v>28202.58</v>
      </c>
      <c r="AB47" s="43">
        <f t="shared" si="30"/>
        <v>29232</v>
      </c>
    </row>
    <row r="48" spans="1:28" ht="20.25" customHeight="1">
      <c r="A48" s="47" t="s">
        <v>66</v>
      </c>
      <c r="B48" s="60" t="s">
        <v>67</v>
      </c>
      <c r="C48" s="6">
        <v>5980</v>
      </c>
      <c r="D48" s="75">
        <v>5980</v>
      </c>
      <c r="E48" s="6">
        <v>5980</v>
      </c>
      <c r="F48" s="75">
        <f>D48</f>
        <v>5980</v>
      </c>
      <c r="G48" s="6">
        <v>5980</v>
      </c>
      <c r="H48" s="75">
        <f>F48</f>
        <v>5980</v>
      </c>
      <c r="I48" s="6">
        <v>5980</v>
      </c>
      <c r="J48" s="75">
        <f>H48</f>
        <v>5980</v>
      </c>
      <c r="K48" s="6">
        <v>5980</v>
      </c>
      <c r="L48" s="75">
        <f>J48</f>
        <v>5980</v>
      </c>
      <c r="M48" s="6">
        <v>5980</v>
      </c>
      <c r="N48" s="75">
        <f>L48</f>
        <v>5980</v>
      </c>
      <c r="O48" s="6">
        <v>5980</v>
      </c>
      <c r="P48" s="75">
        <f>N48</f>
        <v>5980</v>
      </c>
      <c r="Q48" s="6">
        <v>5980</v>
      </c>
      <c r="R48" s="75">
        <f>P48</f>
        <v>5980</v>
      </c>
      <c r="S48" s="6">
        <v>5980</v>
      </c>
      <c r="T48" s="75">
        <f>R48</f>
        <v>5980</v>
      </c>
      <c r="U48" s="6">
        <v>5980</v>
      </c>
      <c r="V48" s="75">
        <f>T48</f>
        <v>5980</v>
      </c>
      <c r="W48" s="6">
        <v>5980</v>
      </c>
      <c r="X48" s="75">
        <f>V48</f>
        <v>5980</v>
      </c>
      <c r="Y48" s="6">
        <v>5980</v>
      </c>
      <c r="Z48" s="75">
        <f>X48</f>
        <v>5980</v>
      </c>
      <c r="AA48" s="6">
        <f t="shared" si="30"/>
        <v>71760</v>
      </c>
      <c r="AB48" s="43">
        <f t="shared" si="30"/>
        <v>71760</v>
      </c>
    </row>
    <row r="49" spans="1:28" ht="20.25" customHeight="1">
      <c r="A49" s="47" t="s">
        <v>68</v>
      </c>
      <c r="B49" s="60" t="s">
        <v>69</v>
      </c>
      <c r="C49" s="6">
        <v>0</v>
      </c>
      <c r="D49" s="75">
        <v>0</v>
      </c>
      <c r="E49" s="6">
        <v>0</v>
      </c>
      <c r="F49" s="75">
        <v>0</v>
      </c>
      <c r="G49" s="6">
        <v>0</v>
      </c>
      <c r="H49" s="75">
        <v>0</v>
      </c>
      <c r="I49" s="6">
        <v>0</v>
      </c>
      <c r="J49" s="75">
        <v>0</v>
      </c>
      <c r="K49" s="6">
        <v>0</v>
      </c>
      <c r="L49" s="75">
        <v>0</v>
      </c>
      <c r="M49" s="6">
        <v>0</v>
      </c>
      <c r="N49" s="75">
        <v>0</v>
      </c>
      <c r="O49" s="6">
        <v>0</v>
      </c>
      <c r="P49" s="75">
        <v>0</v>
      </c>
      <c r="Q49" s="6">
        <v>0</v>
      </c>
      <c r="R49" s="75">
        <v>0</v>
      </c>
      <c r="S49" s="6">
        <v>0</v>
      </c>
      <c r="T49" s="75">
        <v>0</v>
      </c>
      <c r="U49" s="6">
        <v>0</v>
      </c>
      <c r="V49" s="75">
        <v>0</v>
      </c>
      <c r="W49" s="6">
        <v>18901.400000000001</v>
      </c>
      <c r="X49" s="75">
        <v>21736.62</v>
      </c>
      <c r="Y49" s="6">
        <v>0</v>
      </c>
      <c r="Z49" s="75">
        <v>0</v>
      </c>
      <c r="AA49" s="6">
        <f t="shared" si="30"/>
        <v>18901.400000000001</v>
      </c>
      <c r="AB49" s="43">
        <f t="shared" si="30"/>
        <v>21736.62</v>
      </c>
    </row>
    <row r="50" spans="1:28" ht="20.25" customHeight="1">
      <c r="A50" s="47" t="s">
        <v>70</v>
      </c>
      <c r="B50" s="60" t="s">
        <v>67</v>
      </c>
      <c r="C50" s="6">
        <v>2500</v>
      </c>
      <c r="D50" s="75">
        <f>2500</f>
        <v>2500</v>
      </c>
      <c r="E50" s="6">
        <f>C50</f>
        <v>2500</v>
      </c>
      <c r="F50" s="75">
        <f>2500</f>
        <v>2500</v>
      </c>
      <c r="G50" s="6">
        <f>E50</f>
        <v>2500</v>
      </c>
      <c r="H50" s="75">
        <f>2500</f>
        <v>2500</v>
      </c>
      <c r="I50" s="6">
        <f>G50</f>
        <v>2500</v>
      </c>
      <c r="J50" s="75">
        <f>2500</f>
        <v>2500</v>
      </c>
      <c r="K50" s="6">
        <f>I50</f>
        <v>2500</v>
      </c>
      <c r="L50" s="75">
        <f>2500</f>
        <v>2500</v>
      </c>
      <c r="M50" s="6">
        <f>K50</f>
        <v>2500</v>
      </c>
      <c r="N50" s="75">
        <f>2500</f>
        <v>2500</v>
      </c>
      <c r="O50" s="6">
        <f>M50</f>
        <v>2500</v>
      </c>
      <c r="P50" s="75">
        <f>2500</f>
        <v>2500</v>
      </c>
      <c r="Q50" s="6">
        <f>O50</f>
        <v>2500</v>
      </c>
      <c r="R50" s="75">
        <f>2500</f>
        <v>2500</v>
      </c>
      <c r="S50" s="6">
        <f>Q50</f>
        <v>2500</v>
      </c>
      <c r="T50" s="75">
        <f>2500</f>
        <v>2500</v>
      </c>
      <c r="U50" s="6">
        <f>S50</f>
        <v>2500</v>
      </c>
      <c r="V50" s="75">
        <f>2500</f>
        <v>2500</v>
      </c>
      <c r="W50" s="6">
        <f>U50</f>
        <v>2500</v>
      </c>
      <c r="X50" s="75">
        <f>2500</f>
        <v>2500</v>
      </c>
      <c r="Y50" s="6">
        <f>W50</f>
        <v>2500</v>
      </c>
      <c r="Z50" s="75">
        <f>2500</f>
        <v>2500</v>
      </c>
      <c r="AA50" s="6">
        <f t="shared" si="30"/>
        <v>30000</v>
      </c>
      <c r="AB50" s="43">
        <f t="shared" si="30"/>
        <v>30000</v>
      </c>
    </row>
    <row r="51" spans="1:28" ht="20.25" customHeight="1">
      <c r="A51" s="47" t="s">
        <v>71</v>
      </c>
      <c r="B51" s="47"/>
      <c r="C51" s="6">
        <f>18770.1/11</f>
        <v>1706.3727272727272</v>
      </c>
      <c r="D51" s="6"/>
      <c r="E51" s="6">
        <f>C51</f>
        <v>1706.3727272727272</v>
      </c>
      <c r="F51" s="6"/>
      <c r="G51" s="6">
        <f>E51</f>
        <v>1706.3727272727272</v>
      </c>
      <c r="H51" s="6"/>
      <c r="I51" s="6">
        <f>G51</f>
        <v>1706.3727272727272</v>
      </c>
      <c r="J51" s="6"/>
      <c r="K51" s="6">
        <f>I51</f>
        <v>1706.3727272727272</v>
      </c>
      <c r="L51" s="6"/>
      <c r="M51" s="6">
        <f>K51</f>
        <v>1706.3727272727272</v>
      </c>
      <c r="N51" s="6"/>
      <c r="O51" s="6">
        <f>M51</f>
        <v>1706.3727272727272</v>
      </c>
      <c r="P51" s="6"/>
      <c r="Q51" s="6">
        <f>O51</f>
        <v>1706.3727272727272</v>
      </c>
      <c r="R51" s="6"/>
      <c r="S51" s="6">
        <f>Q51</f>
        <v>1706.3727272727272</v>
      </c>
      <c r="T51" s="6"/>
      <c r="U51" s="6">
        <f>S51</f>
        <v>1706.3727272727272</v>
      </c>
      <c r="V51" s="6"/>
      <c r="W51" s="6">
        <f>U51</f>
        <v>1706.3727272727272</v>
      </c>
      <c r="X51" s="6"/>
      <c r="Y51" s="6">
        <f>W51</f>
        <v>1706.3727272727272</v>
      </c>
      <c r="Z51" s="6"/>
      <c r="AA51" s="6">
        <f t="shared" si="30"/>
        <v>20476.472727272721</v>
      </c>
      <c r="AB51" s="43">
        <f t="shared" si="30"/>
        <v>0</v>
      </c>
    </row>
    <row r="52" spans="1:28" ht="20.25" customHeight="1">
      <c r="A52" s="64" t="s">
        <v>72</v>
      </c>
      <c r="B52" s="7"/>
      <c r="C52" s="8">
        <f t="shared" ref="C52:AB52" si="31">SUM(C44:C51)</f>
        <v>20675.232727272727</v>
      </c>
      <c r="D52" s="8">
        <f>SUM(D44:D51)</f>
        <v>18619.669999999998</v>
      </c>
      <c r="E52" s="8">
        <f t="shared" si="31"/>
        <v>19151.372727272726</v>
      </c>
      <c r="F52" s="8">
        <f>SUM(F44:F51)</f>
        <v>18619.669999999998</v>
      </c>
      <c r="G52" s="8">
        <f t="shared" si="31"/>
        <v>20438.60272727273</v>
      </c>
      <c r="H52" s="8">
        <f>SUM(H44:H51)</f>
        <v>18619.669999999998</v>
      </c>
      <c r="I52" s="8">
        <f t="shared" si="31"/>
        <v>19350.512727272726</v>
      </c>
      <c r="J52" s="8">
        <f>SUM(J44:J51)</f>
        <v>18667.669999999998</v>
      </c>
      <c r="K52" s="8">
        <f t="shared" si="31"/>
        <v>19350.512727272726</v>
      </c>
      <c r="L52" s="8">
        <f>SUM(L44:L51)</f>
        <v>18667.669999999998</v>
      </c>
      <c r="M52" s="8">
        <f t="shared" si="31"/>
        <v>23743.552727272727</v>
      </c>
      <c r="N52" s="8">
        <f>SUM(N44:N51)</f>
        <v>18667.669999999998</v>
      </c>
      <c r="O52" s="8">
        <f t="shared" si="31"/>
        <v>19350.512727272726</v>
      </c>
      <c r="P52" s="8">
        <f>SUM(P44:P51)</f>
        <v>18667.669999999998</v>
      </c>
      <c r="Q52" s="8">
        <f t="shared" si="31"/>
        <v>19350.512727272726</v>
      </c>
      <c r="R52" s="8">
        <f>SUM(R44:R51)</f>
        <v>18667.669999999998</v>
      </c>
      <c r="S52" s="8">
        <f t="shared" si="31"/>
        <v>20605.722727272725</v>
      </c>
      <c r="T52" s="8">
        <f>SUM(T44:T51)</f>
        <v>18667.669999999998</v>
      </c>
      <c r="U52" s="8">
        <f t="shared" si="31"/>
        <v>19350.512727272726</v>
      </c>
      <c r="V52" s="8">
        <f>SUM(V44:V51)</f>
        <v>18667.669999999998</v>
      </c>
      <c r="W52" s="8">
        <f t="shared" si="31"/>
        <v>38251.912727272727</v>
      </c>
      <c r="X52" s="8">
        <f>SUM(X44:X51)</f>
        <v>40404.29</v>
      </c>
      <c r="Y52" s="8">
        <f t="shared" si="31"/>
        <v>19388.792727272725</v>
      </c>
      <c r="Z52" s="8">
        <f t="shared" si="31"/>
        <v>18667.669999999998</v>
      </c>
      <c r="AA52" s="8">
        <f t="shared" si="31"/>
        <v>259007.75272727272</v>
      </c>
      <c r="AB52" s="74">
        <f t="shared" si="31"/>
        <v>245604.65999999997</v>
      </c>
    </row>
    <row r="53" spans="1:28" ht="24.75" customHeight="1">
      <c r="A53" s="63" t="s">
        <v>73</v>
      </c>
      <c r="B53" s="46"/>
      <c r="C53" s="29" t="s">
        <v>3</v>
      </c>
      <c r="D53" s="78">
        <f>D43</f>
        <v>43101</v>
      </c>
      <c r="E53" s="29" t="s">
        <v>4</v>
      </c>
      <c r="F53" s="78">
        <f>F43</f>
        <v>43132</v>
      </c>
      <c r="G53" s="29" t="s">
        <v>5</v>
      </c>
      <c r="H53" s="78">
        <f>H43</f>
        <v>43160</v>
      </c>
      <c r="I53" s="29" t="s">
        <v>6</v>
      </c>
      <c r="J53" s="78">
        <f>J43</f>
        <v>43191</v>
      </c>
      <c r="K53" s="29" t="s">
        <v>7</v>
      </c>
      <c r="L53" s="78">
        <f>L43</f>
        <v>43221</v>
      </c>
      <c r="M53" s="29" t="s">
        <v>8</v>
      </c>
      <c r="N53" s="78">
        <f>N43</f>
        <v>43252</v>
      </c>
      <c r="O53" s="29" t="s">
        <v>9</v>
      </c>
      <c r="P53" s="78">
        <f>P43</f>
        <v>43282</v>
      </c>
      <c r="Q53" s="29" t="s">
        <v>10</v>
      </c>
      <c r="R53" s="78">
        <f>R43</f>
        <v>43313</v>
      </c>
      <c r="S53" s="10" t="s">
        <v>11</v>
      </c>
      <c r="T53" s="78">
        <f>T43</f>
        <v>43344</v>
      </c>
      <c r="U53" s="10" t="s">
        <v>12</v>
      </c>
      <c r="V53" s="78">
        <f>V43</f>
        <v>43374</v>
      </c>
      <c r="W53" s="10" t="s">
        <v>13</v>
      </c>
      <c r="X53" s="78">
        <f>X43</f>
        <v>43405</v>
      </c>
      <c r="Y53" s="10" t="s">
        <v>14</v>
      </c>
      <c r="Z53" s="78">
        <f>Z43</f>
        <v>43435</v>
      </c>
      <c r="AA53" s="10" t="s">
        <v>37</v>
      </c>
      <c r="AB53" s="40" t="str">
        <f>AB43</f>
        <v>TOTAL 2018</v>
      </c>
    </row>
    <row r="54" spans="1:28" ht="20.25" customHeight="1">
      <c r="A54" s="47" t="s">
        <v>74</v>
      </c>
      <c r="B54" s="77" t="s">
        <v>75</v>
      </c>
      <c r="C54" s="6">
        <v>25733.33</v>
      </c>
      <c r="D54" s="75">
        <v>33417.300000000003</v>
      </c>
      <c r="E54" s="6">
        <v>25733.33</v>
      </c>
      <c r="F54" s="75">
        <f>D54</f>
        <v>33417.300000000003</v>
      </c>
      <c r="G54" s="6">
        <v>25733.33</v>
      </c>
      <c r="H54" s="75">
        <f>F54</f>
        <v>33417.300000000003</v>
      </c>
      <c r="I54" s="6">
        <v>25733.33</v>
      </c>
      <c r="J54" s="75">
        <f>H54</f>
        <v>33417.300000000003</v>
      </c>
      <c r="K54" s="6">
        <v>33417.300000000003</v>
      </c>
      <c r="L54" s="75">
        <f>J54</f>
        <v>33417.300000000003</v>
      </c>
      <c r="M54" s="6">
        <v>33417.300000000003</v>
      </c>
      <c r="N54" s="75">
        <f>L54</f>
        <v>33417.300000000003</v>
      </c>
      <c r="O54" s="6">
        <v>33417.300000000003</v>
      </c>
      <c r="P54" s="75">
        <f>N54</f>
        <v>33417.300000000003</v>
      </c>
      <c r="Q54" s="6">
        <v>33417.300000000003</v>
      </c>
      <c r="R54" s="75">
        <f>P54</f>
        <v>33417.300000000003</v>
      </c>
      <c r="S54" s="6">
        <v>33417.300000000003</v>
      </c>
      <c r="T54" s="75">
        <f>R54</f>
        <v>33417.300000000003</v>
      </c>
      <c r="U54" s="6">
        <v>33417.300000000003</v>
      </c>
      <c r="V54" s="75">
        <f>T54</f>
        <v>33417.300000000003</v>
      </c>
      <c r="W54" s="6">
        <v>33417.300000000003</v>
      </c>
      <c r="X54" s="75">
        <f>V54</f>
        <v>33417.300000000003</v>
      </c>
      <c r="Y54" s="6">
        <v>33417.300000000003</v>
      </c>
      <c r="Z54" s="75">
        <f>X54</f>
        <v>33417.300000000003</v>
      </c>
      <c r="AA54" s="6">
        <f>SUM(C54+E54+G54+I54+K54+M54+O54+Q54+S54+U54+W54+Y54)</f>
        <v>370271.71999999991</v>
      </c>
      <c r="AB54" s="43">
        <f>SUM(D54+F54+H54+J54+L54+N54+P54+R54+T54+V54+X54+Z54)</f>
        <v>401007.59999999992</v>
      </c>
    </row>
    <row r="55" spans="1:28" ht="20.25" customHeight="1">
      <c r="A55" s="47" t="s">
        <v>76</v>
      </c>
      <c r="B55" s="60" t="s">
        <v>77</v>
      </c>
      <c r="C55" s="6">
        <v>30915.35</v>
      </c>
      <c r="D55" s="79">
        <v>123807</v>
      </c>
      <c r="E55" s="6">
        <v>30915.35</v>
      </c>
      <c r="F55" s="79">
        <v>123807</v>
      </c>
      <c r="G55" s="6">
        <v>30915.35</v>
      </c>
      <c r="H55" s="79">
        <v>123807</v>
      </c>
      <c r="I55" s="6">
        <v>30915.35</v>
      </c>
      <c r="J55" s="79">
        <v>123807</v>
      </c>
      <c r="K55" s="6">
        <v>30915.35</v>
      </c>
      <c r="L55" s="79">
        <v>123807</v>
      </c>
      <c r="M55" s="6">
        <v>30915.35</v>
      </c>
      <c r="N55" s="79">
        <v>123807</v>
      </c>
      <c r="O55" s="6">
        <v>30915.35</v>
      </c>
      <c r="P55" s="79">
        <v>123807</v>
      </c>
      <c r="Q55" s="6">
        <v>30915.35</v>
      </c>
      <c r="R55" s="79">
        <v>129807</v>
      </c>
      <c r="S55" s="6">
        <v>30915.35</v>
      </c>
      <c r="T55" s="79">
        <v>143807</v>
      </c>
      <c r="U55" s="6">
        <v>30915.35</v>
      </c>
      <c r="V55" s="79">
        <v>143807</v>
      </c>
      <c r="W55" s="6">
        <v>30915.35</v>
      </c>
      <c r="X55" s="79">
        <f>V55</f>
        <v>143807</v>
      </c>
      <c r="Y55" s="6">
        <v>30915.35</v>
      </c>
      <c r="Z55" s="79">
        <f>X55</f>
        <v>143807</v>
      </c>
      <c r="AA55" s="6">
        <f>SUM(C55+E55+G55+I55+K55+M55+O55+Q55+S55+U55+W55+Y55)</f>
        <v>370984.19999999995</v>
      </c>
      <c r="AB55" s="43">
        <f>SUM(D55+F55+H55+J55+L55+N55+P55+R55+T55+V55+X55+Z55)</f>
        <v>1571684</v>
      </c>
    </row>
    <row r="56" spans="1:28" ht="25.5" customHeight="1">
      <c r="A56" s="47" t="s">
        <v>78</v>
      </c>
      <c r="B56" s="60" t="s">
        <v>79</v>
      </c>
      <c r="C56" s="6"/>
      <c r="D56" s="79">
        <v>30915.35</v>
      </c>
      <c r="E56" s="6"/>
      <c r="F56" s="79">
        <f>D56</f>
        <v>30915.35</v>
      </c>
      <c r="G56" s="6"/>
      <c r="H56" s="79">
        <f>F56</f>
        <v>30915.35</v>
      </c>
      <c r="I56" s="6"/>
      <c r="J56" s="79">
        <f>H56</f>
        <v>30915.35</v>
      </c>
      <c r="K56" s="6"/>
      <c r="L56" s="79">
        <f>J56</f>
        <v>30915.35</v>
      </c>
      <c r="M56" s="6"/>
      <c r="N56" s="79">
        <f>L56</f>
        <v>30915.35</v>
      </c>
      <c r="O56" s="6"/>
      <c r="P56" s="79">
        <f>N56</f>
        <v>30915.35</v>
      </c>
      <c r="Q56" s="6"/>
      <c r="R56" s="79">
        <f>P56</f>
        <v>30915.35</v>
      </c>
      <c r="S56" s="6"/>
      <c r="T56" s="79">
        <f>R56</f>
        <v>30915.35</v>
      </c>
      <c r="U56" s="6"/>
      <c r="V56" s="79">
        <f>T56</f>
        <v>30915.35</v>
      </c>
      <c r="W56" s="6"/>
      <c r="X56" s="79">
        <f>V56</f>
        <v>30915.35</v>
      </c>
      <c r="Y56" s="36"/>
      <c r="Z56" s="79">
        <f>X56</f>
        <v>30915.35</v>
      </c>
      <c r="AA56" s="6"/>
      <c r="AB56" s="43">
        <f t="shared" ref="AB56:AB74" si="32">SUM(D56+F56+H56+J56+L56+N56+P56+R56+T56+V56+X56+Z56)</f>
        <v>370984.19999999995</v>
      </c>
    </row>
    <row r="57" spans="1:28" ht="25.5" customHeight="1">
      <c r="A57" s="47" t="s">
        <v>80</v>
      </c>
      <c r="B57" s="60" t="s">
        <v>81</v>
      </c>
      <c r="C57" s="6">
        <v>26393.91</v>
      </c>
      <c r="D57" s="80">
        <v>26393.91</v>
      </c>
      <c r="E57" s="6">
        <v>26393.91</v>
      </c>
      <c r="F57" s="80">
        <v>26393.91</v>
      </c>
      <c r="G57" s="6">
        <v>26393.91</v>
      </c>
      <c r="H57" s="80">
        <v>26393.91</v>
      </c>
      <c r="I57" s="6">
        <v>26393.91</v>
      </c>
      <c r="J57" s="76">
        <v>26921.78</v>
      </c>
      <c r="K57" s="6">
        <v>26393.91</v>
      </c>
      <c r="L57" s="76">
        <v>26921.78</v>
      </c>
      <c r="M57" s="6">
        <v>26393.91</v>
      </c>
      <c r="N57" s="76">
        <v>26921.78</v>
      </c>
      <c r="O57" s="6">
        <v>26393.91</v>
      </c>
      <c r="P57" s="76">
        <v>26921.78</v>
      </c>
      <c r="Q57" s="6">
        <v>26393.91</v>
      </c>
      <c r="R57" s="76">
        <v>26921.78</v>
      </c>
      <c r="S57" s="6">
        <v>26393.91</v>
      </c>
      <c r="T57" s="76">
        <v>26921.78</v>
      </c>
      <c r="U57" s="6">
        <v>26393.91</v>
      </c>
      <c r="V57" s="76">
        <v>26921.78</v>
      </c>
      <c r="W57" s="6">
        <v>26393.91</v>
      </c>
      <c r="X57" s="76">
        <v>26921.78</v>
      </c>
      <c r="Y57" s="6">
        <v>26393.91</v>
      </c>
      <c r="Z57" s="76">
        <v>26921.78</v>
      </c>
      <c r="AA57" s="6">
        <f>SUM(C57+E57+G57+I57+K57+M57+O57+Q57+S57+U57+W57+Y57)</f>
        <v>316726.91999999993</v>
      </c>
      <c r="AB57" s="43">
        <f t="shared" si="32"/>
        <v>321477.75</v>
      </c>
    </row>
    <row r="58" spans="1:28" ht="20.25" customHeight="1">
      <c r="A58" s="47" t="s">
        <v>82</v>
      </c>
      <c r="B58" s="60" t="s">
        <v>83</v>
      </c>
      <c r="C58" s="6">
        <f>90086.72+4389.69</f>
        <v>94476.41</v>
      </c>
      <c r="D58" s="80">
        <v>412329.7</v>
      </c>
      <c r="E58" s="6">
        <f>C58</f>
        <v>94476.41</v>
      </c>
      <c r="F58" s="80">
        <f>D58</f>
        <v>412329.7</v>
      </c>
      <c r="G58" s="6">
        <f>E58/30*19</f>
        <v>59835.059666666675</v>
      </c>
      <c r="H58" s="80">
        <v>420576.29</v>
      </c>
      <c r="I58" s="6">
        <f>E58*1.07</f>
        <v>101089.75870000001</v>
      </c>
      <c r="J58" s="80">
        <v>420576.29</v>
      </c>
      <c r="K58" s="6">
        <f>I58</f>
        <v>101089.75870000001</v>
      </c>
      <c r="L58" s="80">
        <v>420576.29</v>
      </c>
      <c r="M58" s="6">
        <f>I58</f>
        <v>101089.75870000001</v>
      </c>
      <c r="N58" s="80">
        <v>420576.29</v>
      </c>
      <c r="O58" s="6">
        <f>I58</f>
        <v>101089.75870000001</v>
      </c>
      <c r="P58" s="80">
        <v>420576.29</v>
      </c>
      <c r="Q58" s="27">
        <f>I58</f>
        <v>101089.75870000001</v>
      </c>
      <c r="R58" s="80">
        <v>420576.29</v>
      </c>
      <c r="S58" s="27">
        <f>I58</f>
        <v>101089.75870000001</v>
      </c>
      <c r="T58" s="80">
        <v>420576.29</v>
      </c>
      <c r="U58" s="27">
        <f>I58</f>
        <v>101089.75870000001</v>
      </c>
      <c r="V58" s="80">
        <v>420576.29</v>
      </c>
      <c r="W58" s="27">
        <f>I58</f>
        <v>101089.75870000001</v>
      </c>
      <c r="X58" s="80">
        <v>420576.29</v>
      </c>
      <c r="Y58" s="27">
        <f>I58</f>
        <v>101089.75870000001</v>
      </c>
      <c r="Z58" s="80">
        <v>420576.29</v>
      </c>
      <c r="AA58" s="6">
        <f>SUM(C58+E58+G58+I58+K58+M58+O58+Q58+S58+U58+W58+Y58)</f>
        <v>1158595.7079666667</v>
      </c>
      <c r="AB58" s="43">
        <f t="shared" si="32"/>
        <v>5030422.3</v>
      </c>
    </row>
    <row r="59" spans="1:28" ht="21" customHeight="1">
      <c r="A59" s="47" t="s">
        <v>84</v>
      </c>
      <c r="B59" s="77" t="s">
        <v>85</v>
      </c>
      <c r="C59" s="6">
        <v>3276</v>
      </c>
      <c r="D59" s="80">
        <v>3276</v>
      </c>
      <c r="E59" s="6">
        <v>3276</v>
      </c>
      <c r="F59" s="80">
        <f>D59</f>
        <v>3276</v>
      </c>
      <c r="G59" s="6">
        <v>3276</v>
      </c>
      <c r="H59" s="80">
        <f>F59</f>
        <v>3276</v>
      </c>
      <c r="I59" s="6">
        <v>3276</v>
      </c>
      <c r="J59" s="80">
        <f>H59</f>
        <v>3276</v>
      </c>
      <c r="K59" s="6">
        <v>3276</v>
      </c>
      <c r="L59" s="80">
        <f>J59</f>
        <v>3276</v>
      </c>
      <c r="M59" s="6">
        <v>3276</v>
      </c>
      <c r="N59" s="80">
        <f>L59</f>
        <v>3276</v>
      </c>
      <c r="O59" s="6">
        <f>(M59/30*20)+(S59/30*10)</f>
        <v>3352.44</v>
      </c>
      <c r="P59" s="80">
        <f>N59</f>
        <v>3276</v>
      </c>
      <c r="Q59" s="28">
        <f>M59*1.07</f>
        <v>3505.32</v>
      </c>
      <c r="R59" s="80">
        <v>0</v>
      </c>
      <c r="S59" s="27">
        <f>Q59</f>
        <v>3505.32</v>
      </c>
      <c r="T59" s="80">
        <v>0</v>
      </c>
      <c r="U59" s="27">
        <f>S59</f>
        <v>3505.32</v>
      </c>
      <c r="V59" s="80">
        <v>0</v>
      </c>
      <c r="W59" s="27">
        <f>U59</f>
        <v>3505.32</v>
      </c>
      <c r="X59" s="80">
        <v>0</v>
      </c>
      <c r="Y59" s="27">
        <f>W59</f>
        <v>3505.32</v>
      </c>
      <c r="Z59" s="80">
        <v>0</v>
      </c>
      <c r="AA59" s="6">
        <f>SUM(C59+E59+G59+I59+K59+M59+O59+Q59+S59+U59+W59+Y59)</f>
        <v>40535.040000000001</v>
      </c>
      <c r="AB59" s="43">
        <f t="shared" si="32"/>
        <v>22932</v>
      </c>
    </row>
    <row r="60" spans="1:28" ht="20.25" customHeight="1">
      <c r="A60" s="47" t="s">
        <v>86</v>
      </c>
      <c r="B60" s="60" t="s">
        <v>87</v>
      </c>
      <c r="C60" s="32">
        <v>229861.34</v>
      </c>
      <c r="D60" s="80">
        <v>254460.9</v>
      </c>
      <c r="E60" s="32">
        <v>229861.34</v>
      </c>
      <c r="F60" s="80">
        <f>D60</f>
        <v>254460.9</v>
      </c>
      <c r="G60" s="33">
        <v>229861.34</v>
      </c>
      <c r="H60" s="80">
        <f>F60</f>
        <v>254460.9</v>
      </c>
      <c r="I60" s="32">
        <v>229861.34</v>
      </c>
      <c r="J60" s="80">
        <f>H60</f>
        <v>254460.9</v>
      </c>
      <c r="K60" s="32">
        <v>254460.9</v>
      </c>
      <c r="L60" s="80">
        <v>259550.12</v>
      </c>
      <c r="M60" s="32">
        <v>254460.9</v>
      </c>
      <c r="N60" s="80">
        <v>259550.12</v>
      </c>
      <c r="O60" s="32">
        <v>254460.9</v>
      </c>
      <c r="P60" s="80">
        <v>259550.12</v>
      </c>
      <c r="Q60" s="32">
        <v>254460.9</v>
      </c>
      <c r="R60" s="80">
        <v>259550.12</v>
      </c>
      <c r="S60" s="32">
        <v>254460.9</v>
      </c>
      <c r="T60" s="80">
        <v>259550.12</v>
      </c>
      <c r="U60" s="27">
        <f>M60</f>
        <v>254460.9</v>
      </c>
      <c r="V60" s="80">
        <v>259550.12</v>
      </c>
      <c r="W60" s="27">
        <f>O60</f>
        <v>254460.9</v>
      </c>
      <c r="X60" s="80">
        <v>259550.12</v>
      </c>
      <c r="Y60" s="27">
        <f>Q60</f>
        <v>254460.9</v>
      </c>
      <c r="Z60" s="80">
        <v>259550.12</v>
      </c>
      <c r="AA60" s="6">
        <f>+Y60+W60+U60+S60+Q60+O60+M60+K60+I60+E60+C60+G60</f>
        <v>2955132.5599999991</v>
      </c>
      <c r="AB60" s="43">
        <f t="shared" si="32"/>
        <v>3094244.5600000005</v>
      </c>
    </row>
    <row r="61" spans="1:28" ht="20.25" customHeight="1">
      <c r="A61" s="47" t="s">
        <v>88</v>
      </c>
      <c r="B61" s="47"/>
      <c r="C61" s="6">
        <v>41700</v>
      </c>
      <c r="D61" s="79"/>
      <c r="E61" s="6">
        <v>41700</v>
      </c>
      <c r="F61" s="79"/>
      <c r="G61" s="6">
        <v>41700</v>
      </c>
      <c r="H61" s="6"/>
      <c r="I61" s="6">
        <v>41700</v>
      </c>
      <c r="J61" s="79"/>
      <c r="K61" s="6">
        <v>41700</v>
      </c>
      <c r="L61" s="79"/>
      <c r="M61" s="6">
        <f>K61*1.07</f>
        <v>44619</v>
      </c>
      <c r="N61" s="6"/>
      <c r="O61" s="6">
        <v>44619</v>
      </c>
      <c r="P61" s="79"/>
      <c r="Q61" s="6">
        <v>44619</v>
      </c>
      <c r="R61" s="79"/>
      <c r="S61" s="6">
        <v>44619</v>
      </c>
      <c r="T61" s="79"/>
      <c r="U61" s="6">
        <v>44619</v>
      </c>
      <c r="V61" s="6"/>
      <c r="W61" s="6">
        <v>44619</v>
      </c>
      <c r="X61" s="79"/>
      <c r="Y61" s="6">
        <v>44619</v>
      </c>
      <c r="Z61" s="79"/>
      <c r="AA61" s="6">
        <f>SUM(C61+E61+G61+I61+K61+M61+O61+Q61+S61+U61+W61+Y61)</f>
        <v>520833</v>
      </c>
      <c r="AB61" s="43">
        <f t="shared" si="32"/>
        <v>0</v>
      </c>
    </row>
    <row r="62" spans="1:28" ht="21" customHeight="1">
      <c r="A62" s="47" t="s">
        <v>89</v>
      </c>
      <c r="B62" s="60" t="s">
        <v>90</v>
      </c>
      <c r="C62" s="6">
        <v>342118.92</v>
      </c>
      <c r="D62" s="75">
        <v>342118.92</v>
      </c>
      <c r="E62" s="6">
        <v>342118.92</v>
      </c>
      <c r="F62" s="75">
        <v>342118.92</v>
      </c>
      <c r="G62" s="6">
        <v>342118.92</v>
      </c>
      <c r="H62" s="75">
        <v>342118.92</v>
      </c>
      <c r="I62" s="6">
        <v>342118.92</v>
      </c>
      <c r="J62" s="75">
        <v>342118.92</v>
      </c>
      <c r="K62" s="6">
        <v>342118.92</v>
      </c>
      <c r="L62" s="75">
        <v>342118.92</v>
      </c>
      <c r="M62" s="6">
        <v>342118.92</v>
      </c>
      <c r="N62" s="75">
        <v>342118.92</v>
      </c>
      <c r="O62" s="6">
        <v>342118.92</v>
      </c>
      <c r="P62" s="75">
        <v>342118.92</v>
      </c>
      <c r="Q62" s="6">
        <v>342118.92</v>
      </c>
      <c r="R62" s="75">
        <v>342118.92</v>
      </c>
      <c r="S62" s="6">
        <v>342118.92</v>
      </c>
      <c r="T62" s="75">
        <v>342118.92</v>
      </c>
      <c r="U62" s="6">
        <v>342118.92</v>
      </c>
      <c r="V62" s="75">
        <v>342118.92</v>
      </c>
      <c r="W62" s="6">
        <v>342118.92</v>
      </c>
      <c r="X62" s="75">
        <v>342118.92</v>
      </c>
      <c r="Y62" s="6">
        <v>342118.92</v>
      </c>
      <c r="Z62" s="75">
        <v>342118.92</v>
      </c>
      <c r="AA62" s="6">
        <f>+Y62+W62+U62+S62+Q62+O62+M62+K62+I62+E62+C62+G62</f>
        <v>4105427.0399999996</v>
      </c>
      <c r="AB62" s="43">
        <f t="shared" si="32"/>
        <v>4105427.0399999996</v>
      </c>
    </row>
    <row r="63" spans="1:28" ht="21" customHeight="1">
      <c r="A63" s="47" t="s">
        <v>91</v>
      </c>
      <c r="B63" s="60" t="s">
        <v>92</v>
      </c>
      <c r="C63" s="6">
        <v>356210.72</v>
      </c>
      <c r="D63" s="76">
        <v>131697.76</v>
      </c>
      <c r="E63" s="6">
        <v>356210.72</v>
      </c>
      <c r="F63" s="76">
        <v>131697.76</v>
      </c>
      <c r="G63" s="6">
        <v>356210.72</v>
      </c>
      <c r="H63" s="76">
        <v>131697.76</v>
      </c>
      <c r="I63" s="6">
        <v>356210.72</v>
      </c>
      <c r="J63" s="76">
        <v>131697.76</v>
      </c>
      <c r="K63" s="6">
        <v>356210.72</v>
      </c>
      <c r="L63" s="76">
        <v>131697.76</v>
      </c>
      <c r="M63" s="6">
        <v>356210.72</v>
      </c>
      <c r="N63" s="76">
        <v>131697.76</v>
      </c>
      <c r="O63" s="6">
        <v>356210.72</v>
      </c>
      <c r="P63" s="76">
        <v>131697.76</v>
      </c>
      <c r="Q63" s="6">
        <v>356210.72</v>
      </c>
      <c r="R63" s="76">
        <v>131697.76</v>
      </c>
      <c r="S63" s="6">
        <v>356210.72</v>
      </c>
      <c r="T63" s="76">
        <v>131697.76</v>
      </c>
      <c r="U63" s="6">
        <v>356210.72</v>
      </c>
      <c r="V63" s="76">
        <v>131697.76</v>
      </c>
      <c r="W63" s="36">
        <v>356210.72</v>
      </c>
      <c r="X63" s="76">
        <v>131697.76</v>
      </c>
      <c r="Y63" s="27">
        <f>W63*1.07</f>
        <v>381145.47039999999</v>
      </c>
      <c r="Z63" s="76">
        <v>131697.76</v>
      </c>
      <c r="AA63" s="6">
        <f t="shared" ref="AA63:AA74" si="33">SUM(C63+E63+G63+I63+K63+M63+O63+Q63+S63+U63+W63+Y63)</f>
        <v>4299463.390399999</v>
      </c>
      <c r="AB63" s="43">
        <f t="shared" si="32"/>
        <v>1580373.12</v>
      </c>
    </row>
    <row r="64" spans="1:28" ht="20.25" customHeight="1">
      <c r="A64" s="47" t="s">
        <v>93</v>
      </c>
      <c r="B64" s="60" t="s">
        <v>81</v>
      </c>
      <c r="C64" s="6">
        <v>18408.25</v>
      </c>
      <c r="D64" s="81">
        <v>18408.25</v>
      </c>
      <c r="E64" s="6">
        <v>18408.25</v>
      </c>
      <c r="F64" s="81">
        <v>18408.25</v>
      </c>
      <c r="G64" s="6">
        <v>18408.25</v>
      </c>
      <c r="H64" s="81">
        <v>18408.25</v>
      </c>
      <c r="I64" s="6">
        <f>E64*1.04</f>
        <v>19144.580000000002</v>
      </c>
      <c r="J64" s="81">
        <v>18776.419999999998</v>
      </c>
      <c r="K64" s="6">
        <f>I64</f>
        <v>19144.580000000002</v>
      </c>
      <c r="L64" s="81">
        <v>18776.419999999998</v>
      </c>
      <c r="M64" s="6">
        <f>I64</f>
        <v>19144.580000000002</v>
      </c>
      <c r="N64" s="81">
        <v>18776.419999999998</v>
      </c>
      <c r="O64" s="6">
        <f>I64</f>
        <v>19144.580000000002</v>
      </c>
      <c r="P64" s="81">
        <v>18776.419999999998</v>
      </c>
      <c r="Q64" s="28">
        <f>I64</f>
        <v>19144.580000000002</v>
      </c>
      <c r="R64" s="81">
        <v>18776.419999999998</v>
      </c>
      <c r="S64" s="27">
        <f>I64</f>
        <v>19144.580000000002</v>
      </c>
      <c r="T64" s="81">
        <v>18776.419999999998</v>
      </c>
      <c r="U64" s="27">
        <f>I64</f>
        <v>19144.580000000002</v>
      </c>
      <c r="V64" s="81">
        <v>18776.419999999998</v>
      </c>
      <c r="W64" s="27">
        <f>I64</f>
        <v>19144.580000000002</v>
      </c>
      <c r="X64" s="81">
        <v>18776.419999999998</v>
      </c>
      <c r="Y64" s="27">
        <f>I64</f>
        <v>19144.580000000002</v>
      </c>
      <c r="Z64" s="81">
        <v>18776.419999999998</v>
      </c>
      <c r="AA64" s="6">
        <f t="shared" si="33"/>
        <v>227525.97000000009</v>
      </c>
      <c r="AB64" s="43">
        <f t="shared" si="32"/>
        <v>224212.52999999991</v>
      </c>
    </row>
    <row r="65" spans="1:28" ht="20.25" customHeight="1">
      <c r="A65" s="47" t="s">
        <v>94</v>
      </c>
      <c r="B65" s="60" t="s">
        <v>95</v>
      </c>
      <c r="C65" s="6">
        <v>243072.5</v>
      </c>
      <c r="D65" s="75">
        <v>243072.5</v>
      </c>
      <c r="E65" s="6">
        <v>243072.5</v>
      </c>
      <c r="F65" s="75">
        <v>243072.5</v>
      </c>
      <c r="G65" s="6">
        <v>243072.5</v>
      </c>
      <c r="H65" s="75">
        <v>243072.5</v>
      </c>
      <c r="I65" s="6">
        <v>243072.5</v>
      </c>
      <c r="J65" s="75">
        <v>247933.95</v>
      </c>
      <c r="K65" s="6">
        <v>243072.5</v>
      </c>
      <c r="L65" s="75">
        <v>247933.95</v>
      </c>
      <c r="M65" s="6">
        <v>243072.5</v>
      </c>
      <c r="N65" s="75">
        <v>247933.95</v>
      </c>
      <c r="O65" s="6">
        <v>243072.5</v>
      </c>
      <c r="P65" s="75">
        <v>247933.95</v>
      </c>
      <c r="Q65" s="6">
        <v>243072.5</v>
      </c>
      <c r="R65" s="75">
        <v>247933.95</v>
      </c>
      <c r="S65" s="6">
        <v>243072.5</v>
      </c>
      <c r="T65" s="75">
        <v>247933.95</v>
      </c>
      <c r="U65" s="6">
        <v>243072.5</v>
      </c>
      <c r="V65" s="75">
        <v>247933.95</v>
      </c>
      <c r="W65" s="6">
        <v>243072.5</v>
      </c>
      <c r="X65" s="75">
        <v>247933.95</v>
      </c>
      <c r="Y65" s="6">
        <v>243072.5</v>
      </c>
      <c r="Z65" s="75">
        <v>247933.95</v>
      </c>
      <c r="AA65" s="6">
        <f t="shared" si="33"/>
        <v>2916870</v>
      </c>
      <c r="AB65" s="43">
        <f t="shared" si="32"/>
        <v>2960623.0500000003</v>
      </c>
    </row>
    <row r="66" spans="1:28" ht="20.25" customHeight="1">
      <c r="A66" s="47" t="s">
        <v>96</v>
      </c>
      <c r="B66" s="77" t="s">
        <v>97</v>
      </c>
      <c r="C66" s="6">
        <v>15000</v>
      </c>
      <c r="D66" s="75">
        <f>15000</f>
        <v>15000</v>
      </c>
      <c r="E66" s="6">
        <v>15000</v>
      </c>
      <c r="F66" s="75">
        <f>D66</f>
        <v>15000</v>
      </c>
      <c r="G66" s="6">
        <v>15000</v>
      </c>
      <c r="H66" s="75">
        <f>F66</f>
        <v>15000</v>
      </c>
      <c r="I66" s="6">
        <v>15000</v>
      </c>
      <c r="J66" s="75">
        <f>H66</f>
        <v>15000</v>
      </c>
      <c r="K66" s="6">
        <f>(I66/30*9)+(M66/30*21)</f>
        <v>15735.000000000002</v>
      </c>
      <c r="L66" s="75">
        <f>J66</f>
        <v>15000</v>
      </c>
      <c r="M66" s="6">
        <f>I66*1.07</f>
        <v>16050.000000000002</v>
      </c>
      <c r="N66" s="75">
        <f>15300</f>
        <v>15300</v>
      </c>
      <c r="O66" s="6">
        <f t="shared" ref="O66:Z66" si="34">M66</f>
        <v>16050.000000000002</v>
      </c>
      <c r="P66" s="75">
        <f t="shared" si="34"/>
        <v>15300</v>
      </c>
      <c r="Q66" s="6">
        <f t="shared" si="34"/>
        <v>16050.000000000002</v>
      </c>
      <c r="R66" s="75">
        <f t="shared" si="34"/>
        <v>15300</v>
      </c>
      <c r="S66" s="6">
        <f t="shared" si="34"/>
        <v>16050.000000000002</v>
      </c>
      <c r="T66" s="75">
        <f t="shared" si="34"/>
        <v>15300</v>
      </c>
      <c r="U66" s="6">
        <f t="shared" si="34"/>
        <v>16050.000000000002</v>
      </c>
      <c r="V66" s="75">
        <f t="shared" si="34"/>
        <v>15300</v>
      </c>
      <c r="W66" s="6">
        <f t="shared" si="34"/>
        <v>16050.000000000002</v>
      </c>
      <c r="X66" s="75">
        <f t="shared" si="34"/>
        <v>15300</v>
      </c>
      <c r="Y66" s="6">
        <f t="shared" si="34"/>
        <v>16050.000000000002</v>
      </c>
      <c r="Z66" s="75">
        <f t="shared" si="34"/>
        <v>15300</v>
      </c>
      <c r="AA66" s="6">
        <f t="shared" si="33"/>
        <v>188085</v>
      </c>
      <c r="AB66" s="43">
        <f t="shared" si="32"/>
        <v>182100</v>
      </c>
    </row>
    <row r="67" spans="1:28" ht="20.25" customHeight="1">
      <c r="A67" s="47" t="s">
        <v>98</v>
      </c>
      <c r="B67" s="60" t="s">
        <v>99</v>
      </c>
      <c r="C67" s="6">
        <v>0</v>
      </c>
      <c r="D67" s="75">
        <v>16666.25</v>
      </c>
      <c r="E67" s="6">
        <v>0</v>
      </c>
      <c r="F67" s="75">
        <v>16666.25</v>
      </c>
      <c r="G67" s="6">
        <v>0</v>
      </c>
      <c r="H67" s="75">
        <v>16666.25</v>
      </c>
      <c r="I67" s="6">
        <v>0</v>
      </c>
      <c r="J67" s="75">
        <v>16666.25</v>
      </c>
      <c r="K67" s="6">
        <v>0</v>
      </c>
      <c r="L67" s="75">
        <v>16666.25</v>
      </c>
      <c r="M67" s="6">
        <v>0</v>
      </c>
      <c r="N67" s="75">
        <v>16666.25</v>
      </c>
      <c r="O67" s="6">
        <v>0</v>
      </c>
      <c r="P67" s="75">
        <v>16666.25</v>
      </c>
      <c r="Q67" s="6">
        <v>16666.25</v>
      </c>
      <c r="R67" s="75">
        <v>16999.57</v>
      </c>
      <c r="S67" s="6">
        <v>16666.25</v>
      </c>
      <c r="T67" s="75">
        <v>16999.57</v>
      </c>
      <c r="U67" s="6">
        <v>16666.25</v>
      </c>
      <c r="V67" s="75">
        <v>16999.57</v>
      </c>
      <c r="W67" s="6">
        <v>16666.25</v>
      </c>
      <c r="X67" s="75">
        <v>16999.57</v>
      </c>
      <c r="Y67" s="6">
        <v>16666.25</v>
      </c>
      <c r="Z67" s="75">
        <v>16999.57</v>
      </c>
      <c r="AA67" s="6">
        <f t="shared" si="33"/>
        <v>83331.25</v>
      </c>
      <c r="AB67" s="43">
        <f t="shared" si="32"/>
        <v>201661.60000000003</v>
      </c>
    </row>
    <row r="68" spans="1:28" ht="20.25" customHeight="1">
      <c r="A68" s="47" t="s">
        <v>100</v>
      </c>
      <c r="B68" s="60" t="s">
        <v>101</v>
      </c>
      <c r="C68" s="6">
        <v>0</v>
      </c>
      <c r="D68" s="75">
        <v>1200</v>
      </c>
      <c r="E68" s="6">
        <v>0</v>
      </c>
      <c r="F68" s="75">
        <v>1200</v>
      </c>
      <c r="G68" s="6">
        <v>0</v>
      </c>
      <c r="H68" s="75">
        <v>1200</v>
      </c>
      <c r="I68" s="6">
        <v>0</v>
      </c>
      <c r="J68" s="75">
        <v>1200</v>
      </c>
      <c r="K68" s="6">
        <v>1200</v>
      </c>
      <c r="L68" s="75">
        <v>1224</v>
      </c>
      <c r="M68" s="6">
        <v>1200</v>
      </c>
      <c r="N68" s="75">
        <v>1224</v>
      </c>
      <c r="O68" s="6">
        <v>1200</v>
      </c>
      <c r="P68" s="75">
        <v>1224</v>
      </c>
      <c r="Q68" s="6">
        <v>1200</v>
      </c>
      <c r="R68" s="75">
        <v>1224</v>
      </c>
      <c r="S68" s="6">
        <v>1200</v>
      </c>
      <c r="T68" s="75">
        <v>1224</v>
      </c>
      <c r="U68" s="6">
        <v>1200</v>
      </c>
      <c r="V68" s="75">
        <v>1224</v>
      </c>
      <c r="W68" s="6">
        <v>1200</v>
      </c>
      <c r="X68" s="75">
        <v>1224</v>
      </c>
      <c r="Y68" s="6">
        <v>1200</v>
      </c>
      <c r="Z68" s="75">
        <v>1224</v>
      </c>
      <c r="AA68" s="6">
        <f t="shared" si="33"/>
        <v>9600</v>
      </c>
      <c r="AB68" s="43">
        <f t="shared" si="32"/>
        <v>14592</v>
      </c>
    </row>
    <row r="69" spans="1:28" ht="20.25" customHeight="1">
      <c r="A69" s="47" t="s">
        <v>102</v>
      </c>
      <c r="B69" s="60" t="s">
        <v>103</v>
      </c>
      <c r="C69" s="6">
        <v>875</v>
      </c>
      <c r="D69" s="75">
        <v>875</v>
      </c>
      <c r="E69" s="6">
        <v>875</v>
      </c>
      <c r="F69" s="75">
        <v>875</v>
      </c>
      <c r="G69" s="6">
        <v>875</v>
      </c>
      <c r="H69" s="75">
        <v>892.5</v>
      </c>
      <c r="I69" s="6">
        <v>875</v>
      </c>
      <c r="J69" s="75">
        <v>892.5</v>
      </c>
      <c r="K69" s="6">
        <v>875</v>
      </c>
      <c r="L69" s="75">
        <v>892.5</v>
      </c>
      <c r="M69" s="6">
        <v>875</v>
      </c>
      <c r="N69" s="75">
        <v>892.5</v>
      </c>
      <c r="O69" s="6">
        <v>875</v>
      </c>
      <c r="P69" s="75">
        <v>892.5</v>
      </c>
      <c r="Q69" s="6">
        <v>875</v>
      </c>
      <c r="R69" s="75">
        <v>892.5</v>
      </c>
      <c r="S69" s="6">
        <v>875</v>
      </c>
      <c r="T69" s="75">
        <v>892.5</v>
      </c>
      <c r="U69" s="6">
        <v>875</v>
      </c>
      <c r="V69" s="75">
        <v>892.5</v>
      </c>
      <c r="W69" s="6">
        <v>875</v>
      </c>
      <c r="X69" s="75">
        <v>892.5</v>
      </c>
      <c r="Y69" s="6">
        <v>875</v>
      </c>
      <c r="Z69" s="75">
        <v>892.5</v>
      </c>
      <c r="AA69" s="6">
        <f t="shared" si="33"/>
        <v>10500</v>
      </c>
      <c r="AB69" s="43">
        <f t="shared" si="32"/>
        <v>10675</v>
      </c>
    </row>
    <row r="70" spans="1:28" ht="20.25" customHeight="1">
      <c r="A70" s="47" t="s">
        <v>104</v>
      </c>
      <c r="B70" s="77" t="s">
        <v>105</v>
      </c>
      <c r="C70" s="6">
        <v>15336.3</v>
      </c>
      <c r="D70" s="75">
        <v>190166.66</v>
      </c>
      <c r="E70" s="6">
        <v>15336.3</v>
      </c>
      <c r="F70" s="75">
        <v>190166.66</v>
      </c>
      <c r="G70" s="6">
        <v>15336.3</v>
      </c>
      <c r="H70" s="75">
        <v>190166.66</v>
      </c>
      <c r="I70" s="6">
        <v>15336.3</v>
      </c>
      <c r="J70" s="75">
        <v>190166.66</v>
      </c>
      <c r="K70" s="6">
        <v>15336.3</v>
      </c>
      <c r="L70" s="75">
        <v>190166.66</v>
      </c>
      <c r="M70" s="6">
        <v>15336.3</v>
      </c>
      <c r="N70" s="75">
        <v>190166.66</v>
      </c>
      <c r="O70" s="6">
        <v>15336.3</v>
      </c>
      <c r="P70" s="75">
        <v>190166.66</v>
      </c>
      <c r="Q70" s="6">
        <v>15336.3</v>
      </c>
      <c r="R70" s="75">
        <v>190166.66</v>
      </c>
      <c r="S70" s="6">
        <v>15336.3</v>
      </c>
      <c r="T70" s="75">
        <v>190166.66</v>
      </c>
      <c r="U70" s="6">
        <v>15336.3</v>
      </c>
      <c r="V70" s="75">
        <v>0</v>
      </c>
      <c r="W70" s="6">
        <v>15336.3</v>
      </c>
      <c r="X70" s="75">
        <v>0</v>
      </c>
      <c r="Y70" s="6">
        <v>15336.3</v>
      </c>
      <c r="Z70" s="75">
        <v>0</v>
      </c>
      <c r="AA70" s="6">
        <f t="shared" si="33"/>
        <v>184035.59999999998</v>
      </c>
      <c r="AB70" s="43">
        <f t="shared" si="32"/>
        <v>1711499.9399999997</v>
      </c>
    </row>
    <row r="71" spans="1:28" ht="20.25" customHeight="1">
      <c r="A71" s="47" t="s">
        <v>106</v>
      </c>
      <c r="B71" s="60" t="s">
        <v>107</v>
      </c>
      <c r="C71" s="6">
        <v>27333.33</v>
      </c>
      <c r="D71" s="75">
        <v>27216.67</v>
      </c>
      <c r="E71" s="6">
        <v>27333.33</v>
      </c>
      <c r="F71" s="75">
        <v>27216.67</v>
      </c>
      <c r="G71" s="6">
        <v>27333.33</v>
      </c>
      <c r="H71" s="75">
        <v>27216.67</v>
      </c>
      <c r="I71" s="6">
        <v>27333.33</v>
      </c>
      <c r="J71" s="75">
        <v>27216.67</v>
      </c>
      <c r="K71" s="6">
        <v>27333.33</v>
      </c>
      <c r="L71" s="75">
        <f>(J71*2%)+J71</f>
        <v>27761.003399999998</v>
      </c>
      <c r="M71" s="6">
        <v>27333.33</v>
      </c>
      <c r="N71" s="75">
        <f>L71</f>
        <v>27761.003399999998</v>
      </c>
      <c r="O71" s="6">
        <v>27333.33</v>
      </c>
      <c r="P71" s="75">
        <f>N71</f>
        <v>27761.003399999998</v>
      </c>
      <c r="Q71" s="6">
        <v>27333.33</v>
      </c>
      <c r="R71" s="75">
        <f>P71</f>
        <v>27761.003399999998</v>
      </c>
      <c r="S71" s="6">
        <v>27333.33</v>
      </c>
      <c r="T71" s="75">
        <f>R71</f>
        <v>27761.003399999998</v>
      </c>
      <c r="U71" s="6">
        <v>27333.33</v>
      </c>
      <c r="V71" s="75">
        <f>T71</f>
        <v>27761.003399999998</v>
      </c>
      <c r="W71" s="6">
        <v>27333.33</v>
      </c>
      <c r="X71" s="75">
        <f>V71</f>
        <v>27761.003399999998</v>
      </c>
      <c r="Y71" s="6">
        <v>27333.33</v>
      </c>
      <c r="Z71" s="75">
        <f>X71</f>
        <v>27761.003399999998</v>
      </c>
      <c r="AA71" s="6">
        <f t="shared" si="33"/>
        <v>327999.96000000014</v>
      </c>
      <c r="AB71" s="43">
        <f t="shared" si="32"/>
        <v>330954.70719999989</v>
      </c>
    </row>
    <row r="72" spans="1:28" ht="20.25" customHeight="1">
      <c r="A72" s="47" t="s">
        <v>108</v>
      </c>
      <c r="B72" s="60" t="s">
        <v>109</v>
      </c>
      <c r="C72" s="6">
        <v>41572.01</v>
      </c>
      <c r="D72" s="76">
        <v>40930.32</v>
      </c>
      <c r="E72" s="6">
        <v>41572.01</v>
      </c>
      <c r="F72" s="76">
        <f>D72</f>
        <v>40930.32</v>
      </c>
      <c r="G72" s="6">
        <v>41572.01</v>
      </c>
      <c r="H72" s="76">
        <f>F72</f>
        <v>40930.32</v>
      </c>
      <c r="I72" s="6">
        <v>41572.01</v>
      </c>
      <c r="J72" s="76">
        <f>H72</f>
        <v>40930.32</v>
      </c>
      <c r="K72" s="6">
        <v>41572.01</v>
      </c>
      <c r="L72" s="76">
        <f>J72</f>
        <v>40930.32</v>
      </c>
      <c r="M72" s="6">
        <v>41572.01</v>
      </c>
      <c r="N72" s="76">
        <f>L72</f>
        <v>40930.32</v>
      </c>
      <c r="O72" s="6">
        <v>41572.01</v>
      </c>
      <c r="P72" s="76">
        <f>N72</f>
        <v>40930.32</v>
      </c>
      <c r="Q72" s="6">
        <v>41572.01</v>
      </c>
      <c r="R72" s="76">
        <f>P72</f>
        <v>40930.32</v>
      </c>
      <c r="S72" s="6">
        <v>44482.05</v>
      </c>
      <c r="T72" s="76">
        <f>R72</f>
        <v>40930.32</v>
      </c>
      <c r="U72" s="27">
        <f>Q72*1.07</f>
        <v>44482.050700000007</v>
      </c>
      <c r="V72" s="76">
        <f>T72</f>
        <v>40930.32</v>
      </c>
      <c r="W72" s="27">
        <f>U72</f>
        <v>44482.050700000007</v>
      </c>
      <c r="X72" s="76">
        <f>V72</f>
        <v>40930.32</v>
      </c>
      <c r="Y72" s="27">
        <f>W72</f>
        <v>44482.050700000007</v>
      </c>
      <c r="Z72" s="76">
        <f>X72</f>
        <v>40930.32</v>
      </c>
      <c r="AA72" s="6">
        <f t="shared" si="33"/>
        <v>510504.28210000007</v>
      </c>
      <c r="AB72" s="43">
        <f t="shared" si="32"/>
        <v>491163.84</v>
      </c>
    </row>
    <row r="73" spans="1:28" ht="20.25" customHeight="1">
      <c r="A73" s="47" t="s">
        <v>110</v>
      </c>
      <c r="B73" s="60" t="s">
        <v>111</v>
      </c>
      <c r="C73" s="6">
        <v>0</v>
      </c>
      <c r="D73" s="76">
        <f>5108.15</f>
        <v>5108.1499999999996</v>
      </c>
      <c r="E73" s="6">
        <v>0</v>
      </c>
      <c r="F73" s="76">
        <f>D73</f>
        <v>5108.1499999999996</v>
      </c>
      <c r="G73" s="6">
        <v>5108.1499999999996</v>
      </c>
      <c r="H73" s="76">
        <f>(F73*2%)+F73</f>
        <v>5210.3129999999992</v>
      </c>
      <c r="I73" s="6">
        <v>5108.1499999999996</v>
      </c>
      <c r="J73" s="76">
        <f>H73</f>
        <v>5210.3129999999992</v>
      </c>
      <c r="K73" s="6">
        <v>5108.1499999999996</v>
      </c>
      <c r="L73" s="76">
        <f>J73</f>
        <v>5210.3129999999992</v>
      </c>
      <c r="M73" s="6">
        <v>5108.1499999999996</v>
      </c>
      <c r="N73" s="76">
        <f>L73</f>
        <v>5210.3129999999992</v>
      </c>
      <c r="O73" s="6">
        <v>5108.1499999999996</v>
      </c>
      <c r="P73" s="76">
        <f>N73</f>
        <v>5210.3129999999992</v>
      </c>
      <c r="Q73" s="6">
        <v>5108.1499999999996</v>
      </c>
      <c r="R73" s="76">
        <f>P73</f>
        <v>5210.3129999999992</v>
      </c>
      <c r="S73" s="6">
        <v>5108.1499999999996</v>
      </c>
      <c r="T73" s="76">
        <f>R73</f>
        <v>5210.3129999999992</v>
      </c>
      <c r="U73" s="6">
        <v>5108.1499999999996</v>
      </c>
      <c r="V73" s="76">
        <f>T73</f>
        <v>5210.3129999999992</v>
      </c>
      <c r="W73" s="6">
        <v>5108.1499999999996</v>
      </c>
      <c r="X73" s="76">
        <f>V73</f>
        <v>5210.3129999999992</v>
      </c>
      <c r="Y73" s="6">
        <v>5108.1499999999996</v>
      </c>
      <c r="Z73" s="76">
        <f>X73</f>
        <v>5210.3129999999992</v>
      </c>
      <c r="AA73" s="6">
        <f>SUM(C73+E73+G73+I73+K73+M73+O73+Q73+S73+U73+W73+Y73)</f>
        <v>51081.500000000007</v>
      </c>
      <c r="AB73" s="43">
        <f>SUM(D73+F73+H73+J73+L73+N73+P73+R73+T73+V73+X73+Z73)</f>
        <v>62319.43</v>
      </c>
    </row>
    <row r="74" spans="1:28" ht="20.25" customHeight="1">
      <c r="A74" s="47" t="s">
        <v>112</v>
      </c>
      <c r="C74" s="6">
        <v>6713.27</v>
      </c>
      <c r="D74" s="6"/>
      <c r="E74" s="6">
        <v>6713.27</v>
      </c>
      <c r="F74" s="6"/>
      <c r="G74" s="6">
        <v>6713.27</v>
      </c>
      <c r="H74" s="6"/>
      <c r="I74" s="6">
        <v>6713.27</v>
      </c>
      <c r="J74" s="6"/>
      <c r="K74" s="6">
        <v>6713.27</v>
      </c>
      <c r="L74" s="6"/>
      <c r="M74" s="6">
        <v>6713.27</v>
      </c>
      <c r="N74" s="6"/>
      <c r="O74" s="6">
        <v>0</v>
      </c>
      <c r="P74" s="6"/>
      <c r="Q74" s="6">
        <f>O74*1.105443</f>
        <v>0</v>
      </c>
      <c r="R74" s="6"/>
      <c r="S74" s="6">
        <v>0</v>
      </c>
      <c r="T74" s="6"/>
      <c r="U74" s="6">
        <v>0</v>
      </c>
      <c r="V74" s="6"/>
      <c r="W74" s="6">
        <v>0</v>
      </c>
      <c r="X74" s="6"/>
      <c r="Y74" s="6">
        <v>0</v>
      </c>
      <c r="Z74" s="6"/>
      <c r="AA74" s="6">
        <f t="shared" si="33"/>
        <v>40279.62000000001</v>
      </c>
      <c r="AB74" s="43">
        <f t="shared" si="32"/>
        <v>0</v>
      </c>
    </row>
    <row r="75" spans="1:28" ht="20.25" customHeight="1">
      <c r="B75" s="60" t="s">
        <v>113</v>
      </c>
      <c r="C75" s="6"/>
      <c r="D75" s="75"/>
      <c r="E75" s="6"/>
      <c r="F75" s="75"/>
      <c r="G75" s="6"/>
      <c r="H75" s="75"/>
      <c r="I75" s="6"/>
      <c r="J75" s="75"/>
      <c r="K75" s="6"/>
      <c r="L75" s="75"/>
      <c r="M75" s="6"/>
      <c r="N75" s="75"/>
      <c r="O75" s="6"/>
      <c r="P75" s="75"/>
      <c r="Q75" s="6"/>
      <c r="R75" s="75"/>
      <c r="S75" s="6"/>
      <c r="T75" s="75"/>
      <c r="U75" s="6"/>
      <c r="V75" s="75"/>
      <c r="W75" s="6"/>
      <c r="X75" s="75"/>
      <c r="Y75" s="6"/>
      <c r="Z75" s="75"/>
      <c r="AA75" s="6"/>
      <c r="AB75" s="43"/>
    </row>
    <row r="76" spans="1:28" ht="20.25" customHeight="1">
      <c r="B76" s="60" t="s">
        <v>113</v>
      </c>
      <c r="C76" s="6"/>
      <c r="D76" s="27"/>
      <c r="E76" s="6"/>
      <c r="F76" s="27"/>
      <c r="G76" s="6"/>
      <c r="H76" s="27"/>
      <c r="I76" s="6"/>
      <c r="J76" s="27"/>
      <c r="K76" s="6"/>
      <c r="L76" s="27"/>
      <c r="M76" s="6"/>
      <c r="N76" s="27"/>
      <c r="O76" s="6"/>
      <c r="P76" s="27"/>
      <c r="Q76" s="6"/>
      <c r="R76" s="27"/>
      <c r="S76" s="6"/>
      <c r="T76" s="27"/>
      <c r="U76" s="6"/>
      <c r="V76" s="27"/>
      <c r="W76" s="36"/>
      <c r="X76" s="27"/>
      <c r="Y76" s="27"/>
      <c r="Z76" s="27"/>
      <c r="AA76" s="6"/>
      <c r="AB76" s="43"/>
    </row>
    <row r="77" spans="1:28" ht="20.25" customHeight="1">
      <c r="B77" s="60" t="s">
        <v>114</v>
      </c>
      <c r="C77" s="6"/>
      <c r="D77" s="75"/>
      <c r="E77" s="6"/>
      <c r="F77" s="75"/>
      <c r="G77" s="6"/>
      <c r="H77" s="75"/>
      <c r="I77" s="6"/>
      <c r="J77" s="75"/>
      <c r="K77" s="6"/>
      <c r="L77" s="75"/>
      <c r="M77" s="6"/>
      <c r="N77" s="75"/>
      <c r="O77" s="6"/>
      <c r="P77" s="75"/>
      <c r="Q77" s="6"/>
      <c r="R77" s="75"/>
      <c r="S77" s="6"/>
      <c r="T77" s="75"/>
      <c r="U77" s="6"/>
      <c r="V77" s="75"/>
      <c r="W77" s="6"/>
      <c r="X77" s="75"/>
      <c r="Y77" s="6"/>
      <c r="Z77" s="75"/>
      <c r="AA77" s="6"/>
      <c r="AB77" s="43"/>
    </row>
    <row r="78" spans="1:28" ht="20.25" customHeight="1">
      <c r="A78" s="64" t="s">
        <v>115</v>
      </c>
      <c r="B78" s="7"/>
      <c r="C78" s="8">
        <f>SUM(C54:C77)</f>
        <v>1518996.6400000001</v>
      </c>
      <c r="D78" s="8">
        <f t="shared" ref="D78:Z78" si="35">SUM(D54:D77)</f>
        <v>1917060.64</v>
      </c>
      <c r="E78" s="8">
        <f>SUM(E54:E77)</f>
        <v>1518996.6400000001</v>
      </c>
      <c r="F78" s="8">
        <f t="shared" si="35"/>
        <v>1917060.64</v>
      </c>
      <c r="G78" s="8">
        <f>SUM(G54:G77)</f>
        <v>1489463.4396666666</v>
      </c>
      <c r="H78" s="8">
        <f t="shared" si="35"/>
        <v>1925426.8929999999</v>
      </c>
      <c r="I78" s="8">
        <f>SUM(I54:I77)</f>
        <v>1531454.4687000001</v>
      </c>
      <c r="J78" s="8">
        <f t="shared" si="35"/>
        <v>1931184.3829999999</v>
      </c>
      <c r="K78" s="8">
        <f>SUM(K54:K77)</f>
        <v>1565672.9987000001</v>
      </c>
      <c r="L78" s="8">
        <f t="shared" si="35"/>
        <v>1936841.9364</v>
      </c>
      <c r="M78" s="8">
        <f>SUM(M54:M77)</f>
        <v>1568906.9987000001</v>
      </c>
      <c r="N78" s="8">
        <f t="shared" si="35"/>
        <v>1937141.9364</v>
      </c>
      <c r="O78" s="8">
        <f>SUM(O54:O77)</f>
        <v>1562270.1687</v>
      </c>
      <c r="P78" s="8">
        <f t="shared" si="35"/>
        <v>1937141.9364</v>
      </c>
      <c r="Q78" s="8">
        <f>SUM(Q54:Q77)</f>
        <v>1579089.2987000002</v>
      </c>
      <c r="R78" s="8">
        <f t="shared" si="35"/>
        <v>1940199.2564000001</v>
      </c>
      <c r="S78" s="8">
        <f>SUM(S54:S77)</f>
        <v>1581999.3387000002</v>
      </c>
      <c r="T78" s="8">
        <f t="shared" si="35"/>
        <v>1954199.2564000001</v>
      </c>
      <c r="U78" s="8">
        <f>SUM(U54:U77)</f>
        <v>1581999.3394000002</v>
      </c>
      <c r="V78" s="8">
        <f t="shared" si="35"/>
        <v>1764032.5964000002</v>
      </c>
      <c r="W78" s="8">
        <f>SUM(W54:W77)</f>
        <v>1581999.3394000002</v>
      </c>
      <c r="X78" s="8">
        <f t="shared" si="35"/>
        <v>1764032.5964000002</v>
      </c>
      <c r="Y78" s="8">
        <f>SUM(Y54:Y77)</f>
        <v>1606934.0898000002</v>
      </c>
      <c r="Z78" s="8">
        <f t="shared" si="35"/>
        <v>1764032.5964000002</v>
      </c>
      <c r="AA78" s="8">
        <f>SUM(AA54:AA77)</f>
        <v>18687782.760466669</v>
      </c>
      <c r="AB78" s="74">
        <f>SUM(AB54:AB77)</f>
        <v>22688354.667199999</v>
      </c>
    </row>
    <row r="79" spans="1:28" ht="27" customHeight="1">
      <c r="A79" s="63" t="s">
        <v>116</v>
      </c>
      <c r="B79" s="46"/>
      <c r="C79" s="29" t="s">
        <v>3</v>
      </c>
      <c r="D79" s="78">
        <f>D53</f>
        <v>43101</v>
      </c>
      <c r="E79" s="29" t="s">
        <v>4</v>
      </c>
      <c r="F79" s="78">
        <f>F53</f>
        <v>43132</v>
      </c>
      <c r="G79" s="29" t="s">
        <v>5</v>
      </c>
      <c r="H79" s="78">
        <f>H53</f>
        <v>43160</v>
      </c>
      <c r="I79" s="29" t="s">
        <v>6</v>
      </c>
      <c r="J79" s="78">
        <f>J53</f>
        <v>43191</v>
      </c>
      <c r="K79" s="29" t="s">
        <v>7</v>
      </c>
      <c r="L79" s="78">
        <f>L53</f>
        <v>43221</v>
      </c>
      <c r="M79" s="29" t="s">
        <v>8</v>
      </c>
      <c r="N79" s="78">
        <f>N53</f>
        <v>43252</v>
      </c>
      <c r="O79" s="29" t="s">
        <v>9</v>
      </c>
      <c r="P79" s="78">
        <f>P53</f>
        <v>43282</v>
      </c>
      <c r="Q79" s="29" t="s">
        <v>10</v>
      </c>
      <c r="R79" s="78">
        <f>R53</f>
        <v>43313</v>
      </c>
      <c r="S79" s="10" t="s">
        <v>11</v>
      </c>
      <c r="T79" s="78">
        <f>T53</f>
        <v>43344</v>
      </c>
      <c r="U79" s="10" t="s">
        <v>12</v>
      </c>
      <c r="V79" s="78">
        <f>V53</f>
        <v>43374</v>
      </c>
      <c r="W79" s="10" t="s">
        <v>13</v>
      </c>
      <c r="X79" s="78">
        <f>X53</f>
        <v>43405</v>
      </c>
      <c r="Y79" s="10" t="s">
        <v>14</v>
      </c>
      <c r="Z79" s="78">
        <f>Z53</f>
        <v>43435</v>
      </c>
      <c r="AA79" s="10" t="s">
        <v>37</v>
      </c>
      <c r="AB79" s="42" t="str">
        <f>AB53</f>
        <v>TOTAL 2018</v>
      </c>
    </row>
    <row r="80" spans="1:28" ht="20.25" customHeight="1">
      <c r="A80" s="65" t="s">
        <v>117</v>
      </c>
      <c r="B80" s="60" t="s">
        <v>118</v>
      </c>
      <c r="C80" s="6">
        <v>10000</v>
      </c>
      <c r="D80" s="75">
        <v>10200</v>
      </c>
      <c r="E80" s="6">
        <v>10000</v>
      </c>
      <c r="F80" s="75">
        <v>10200</v>
      </c>
      <c r="G80" s="6">
        <v>10000</v>
      </c>
      <c r="H80" s="75">
        <v>10200</v>
      </c>
      <c r="I80" s="6">
        <v>10000</v>
      </c>
      <c r="J80" s="75">
        <v>10200</v>
      </c>
      <c r="K80" s="6">
        <v>10000</v>
      </c>
      <c r="L80" s="75">
        <v>10200</v>
      </c>
      <c r="M80" s="6">
        <v>10000</v>
      </c>
      <c r="N80" s="75">
        <v>10200</v>
      </c>
      <c r="O80" s="6">
        <v>10000</v>
      </c>
      <c r="P80" s="75">
        <v>10200</v>
      </c>
      <c r="Q80" s="6">
        <v>10000</v>
      </c>
      <c r="R80" s="75">
        <v>10200</v>
      </c>
      <c r="S80" s="6">
        <v>10000</v>
      </c>
      <c r="T80" s="75">
        <v>10200</v>
      </c>
      <c r="U80" s="6">
        <v>10000</v>
      </c>
      <c r="V80" s="75">
        <v>10200</v>
      </c>
      <c r="W80" s="6">
        <v>10000</v>
      </c>
      <c r="X80" s="75">
        <v>10200</v>
      </c>
      <c r="Y80" s="6">
        <v>10000</v>
      </c>
      <c r="Z80" s="75">
        <v>10200</v>
      </c>
      <c r="AA80" s="6">
        <f t="shared" ref="AA80:AA95" si="36">SUM(C80+E80+G80+I80+K80+M80+O80+Q80+S80+U80+W80+Y80)</f>
        <v>120000</v>
      </c>
      <c r="AB80" s="43">
        <f t="shared" ref="AB80:AB95" si="37">SUM(D80+F80+H80+J80+L80+N80+P80+R80+T80+V80+X80+Z80)</f>
        <v>122400</v>
      </c>
    </row>
    <row r="81" spans="1:28" ht="20.25" customHeight="1">
      <c r="A81" s="47" t="s">
        <v>119</v>
      </c>
      <c r="B81" s="47"/>
      <c r="C81" s="6">
        <f>7600-2880</f>
        <v>4720</v>
      </c>
      <c r="D81" s="75"/>
      <c r="E81" s="6">
        <v>4720</v>
      </c>
      <c r="F81" s="75"/>
      <c r="G81" s="6">
        <v>4720</v>
      </c>
      <c r="H81" s="75"/>
      <c r="I81" s="6">
        <v>4720</v>
      </c>
      <c r="J81" s="75"/>
      <c r="K81" s="6">
        <v>4720</v>
      </c>
      <c r="L81" s="75"/>
      <c r="M81" s="6">
        <v>4720</v>
      </c>
      <c r="N81" s="75"/>
      <c r="O81" s="6">
        <f>(M81/30*22)+(Q81/30*8)</f>
        <v>4808.1066666666666</v>
      </c>
      <c r="P81" s="75"/>
      <c r="Q81" s="6">
        <f>M81*1.07</f>
        <v>5050.4000000000005</v>
      </c>
      <c r="R81" s="75"/>
      <c r="S81" s="6">
        <f>Q81</f>
        <v>5050.4000000000005</v>
      </c>
      <c r="T81" s="75"/>
      <c r="U81" s="6">
        <f>S81</f>
        <v>5050.4000000000005</v>
      </c>
      <c r="V81" s="75"/>
      <c r="W81" s="6">
        <f>U81</f>
        <v>5050.4000000000005</v>
      </c>
      <c r="X81" s="75"/>
      <c r="Y81" s="6">
        <f>W81</f>
        <v>5050.4000000000005</v>
      </c>
      <c r="Z81" s="75"/>
      <c r="AA81" s="6">
        <f t="shared" si="36"/>
        <v>58380.106666666674</v>
      </c>
      <c r="AB81" s="43">
        <f t="shared" si="37"/>
        <v>0</v>
      </c>
    </row>
    <row r="82" spans="1:28" ht="20.25" customHeight="1">
      <c r="A82" s="47" t="s">
        <v>120</v>
      </c>
      <c r="C82" s="6">
        <v>2333.33</v>
      </c>
      <c r="D82" s="75">
        <v>2380</v>
      </c>
      <c r="E82" s="6">
        <v>2333.33</v>
      </c>
      <c r="F82" s="75">
        <v>2380</v>
      </c>
      <c r="G82" s="6">
        <v>2333.33</v>
      </c>
      <c r="H82" s="75">
        <v>2380</v>
      </c>
      <c r="I82" s="6">
        <v>2333.33</v>
      </c>
      <c r="J82" s="75">
        <v>2380</v>
      </c>
      <c r="K82" s="6">
        <v>2333.33</v>
      </c>
      <c r="L82" s="75">
        <v>2380</v>
      </c>
      <c r="M82" s="6">
        <v>2333.33</v>
      </c>
      <c r="N82" s="75">
        <v>2380</v>
      </c>
      <c r="O82" s="6">
        <v>2333.33</v>
      </c>
      <c r="P82" s="75">
        <v>2380</v>
      </c>
      <c r="Q82" s="6">
        <v>2333.33</v>
      </c>
      <c r="R82" s="75">
        <v>2380</v>
      </c>
      <c r="S82" s="6">
        <v>2333.33</v>
      </c>
      <c r="T82" s="75">
        <v>2380</v>
      </c>
      <c r="U82" s="6">
        <v>2333.33</v>
      </c>
      <c r="V82" s="75">
        <v>2380</v>
      </c>
      <c r="W82" s="6">
        <v>2333.33</v>
      </c>
      <c r="X82" s="75">
        <v>2380</v>
      </c>
      <c r="Y82" s="6">
        <v>2380</v>
      </c>
      <c r="Z82" s="75">
        <v>2380</v>
      </c>
      <c r="AA82" s="6">
        <f t="shared" si="36"/>
        <v>28046.630000000005</v>
      </c>
      <c r="AB82" s="43">
        <f t="shared" si="37"/>
        <v>28560</v>
      </c>
    </row>
    <row r="83" spans="1:28" ht="20.25" customHeight="1">
      <c r="A83" s="47" t="s">
        <v>121</v>
      </c>
      <c r="B83" s="49"/>
      <c r="C83" s="6">
        <v>3300</v>
      </c>
      <c r="D83" s="75"/>
      <c r="E83" s="6">
        <v>3300</v>
      </c>
      <c r="F83" s="75"/>
      <c r="G83" s="6">
        <v>3300</v>
      </c>
      <c r="H83" s="75"/>
      <c r="I83" s="6">
        <v>3300</v>
      </c>
      <c r="J83" s="75"/>
      <c r="K83" s="6">
        <v>3300</v>
      </c>
      <c r="L83" s="75"/>
      <c r="M83" s="6">
        <v>3300</v>
      </c>
      <c r="N83" s="75"/>
      <c r="O83" s="6">
        <v>3300</v>
      </c>
      <c r="P83" s="75"/>
      <c r="Q83" s="6">
        <v>3300</v>
      </c>
      <c r="R83" s="75"/>
      <c r="S83" s="6">
        <v>3300</v>
      </c>
      <c r="T83" s="75"/>
      <c r="U83" s="6">
        <v>3300</v>
      </c>
      <c r="V83" s="75"/>
      <c r="W83" s="6">
        <v>3300</v>
      </c>
      <c r="X83" s="75"/>
      <c r="Y83" s="6">
        <v>3300</v>
      </c>
      <c r="Z83" s="75"/>
      <c r="AA83" s="6">
        <f t="shared" si="36"/>
        <v>39600</v>
      </c>
      <c r="AB83" s="43">
        <f t="shared" si="37"/>
        <v>0</v>
      </c>
    </row>
    <row r="84" spans="1:28" ht="20.25" customHeight="1">
      <c r="A84" s="47" t="s">
        <v>122</v>
      </c>
      <c r="B84" s="49"/>
      <c r="C84" s="6">
        <v>3300</v>
      </c>
      <c r="D84" s="75"/>
      <c r="E84" s="6">
        <v>3300</v>
      </c>
      <c r="F84" s="75"/>
      <c r="G84" s="6">
        <v>3300</v>
      </c>
      <c r="H84" s="75"/>
      <c r="I84" s="6">
        <v>3300</v>
      </c>
      <c r="J84" s="75"/>
      <c r="K84" s="6">
        <v>3300</v>
      </c>
      <c r="L84" s="75"/>
      <c r="M84" s="6">
        <v>3300</v>
      </c>
      <c r="N84" s="75"/>
      <c r="O84" s="6">
        <v>3300</v>
      </c>
      <c r="P84" s="75"/>
      <c r="Q84" s="6">
        <v>3300</v>
      </c>
      <c r="R84" s="75"/>
      <c r="S84" s="6">
        <v>3300</v>
      </c>
      <c r="T84" s="75"/>
      <c r="U84" s="6">
        <v>3300</v>
      </c>
      <c r="V84" s="75"/>
      <c r="W84" s="6">
        <v>3300</v>
      </c>
      <c r="X84" s="75"/>
      <c r="Y84" s="6">
        <v>3300</v>
      </c>
      <c r="Z84" s="75"/>
      <c r="AA84" s="6">
        <f t="shared" si="36"/>
        <v>39600</v>
      </c>
      <c r="AB84" s="43">
        <f t="shared" si="37"/>
        <v>0</v>
      </c>
    </row>
    <row r="85" spans="1:28" ht="20.25" customHeight="1">
      <c r="A85" s="47" t="s">
        <v>123</v>
      </c>
      <c r="B85" s="77" t="s">
        <v>124</v>
      </c>
      <c r="C85" s="36">
        <f>(35089.61/30*4)+(E85/30*26)</f>
        <v>37218.379673333337</v>
      </c>
      <c r="D85" s="75">
        <v>66515.19</v>
      </c>
      <c r="E85" s="6">
        <f>35089.61*1.07</f>
        <v>37545.882700000002</v>
      </c>
      <c r="F85" s="75">
        <f t="shared" ref="F85:R85" si="38">D85</f>
        <v>66515.19</v>
      </c>
      <c r="G85" s="6">
        <f t="shared" si="38"/>
        <v>37545.882700000002</v>
      </c>
      <c r="H85" s="75">
        <f t="shared" si="38"/>
        <v>66515.19</v>
      </c>
      <c r="I85" s="6">
        <f t="shared" si="38"/>
        <v>37545.882700000002</v>
      </c>
      <c r="J85" s="75">
        <f t="shared" si="38"/>
        <v>66515.19</v>
      </c>
      <c r="K85" s="6">
        <f t="shared" si="38"/>
        <v>37545.882700000002</v>
      </c>
      <c r="L85" s="75">
        <f t="shared" si="38"/>
        <v>66515.19</v>
      </c>
      <c r="M85" s="6">
        <f t="shared" si="38"/>
        <v>37545.882700000002</v>
      </c>
      <c r="N85" s="75">
        <f t="shared" si="38"/>
        <v>66515.19</v>
      </c>
      <c r="O85" s="6">
        <f t="shared" si="38"/>
        <v>37545.882700000002</v>
      </c>
      <c r="P85" s="75">
        <f t="shared" si="38"/>
        <v>66515.19</v>
      </c>
      <c r="Q85" s="6">
        <f t="shared" si="38"/>
        <v>37545.882700000002</v>
      </c>
      <c r="R85" s="75">
        <f t="shared" si="38"/>
        <v>66515.19</v>
      </c>
      <c r="S85" s="6">
        <f t="shared" ref="S85:S91" si="39">Q85</f>
        <v>37545.882700000002</v>
      </c>
      <c r="T85" s="75">
        <f>R85</f>
        <v>66515.19</v>
      </c>
      <c r="U85" s="6">
        <f t="shared" ref="U85:U91" si="40">S85</f>
        <v>37545.882700000002</v>
      </c>
      <c r="V85" s="75">
        <f>T85</f>
        <v>66515.19</v>
      </c>
      <c r="W85" s="6">
        <f t="shared" ref="W85:W91" si="41">U85</f>
        <v>37545.882700000002</v>
      </c>
      <c r="X85" s="75">
        <f>V85</f>
        <v>66515.19</v>
      </c>
      <c r="Y85" s="6">
        <f t="shared" ref="Y85:Y90" si="42">W85</f>
        <v>37545.882700000002</v>
      </c>
      <c r="Z85" s="75">
        <f>X85</f>
        <v>66515.19</v>
      </c>
      <c r="AA85" s="6">
        <f t="shared" si="36"/>
        <v>450223.08937333344</v>
      </c>
      <c r="AB85" s="43">
        <f t="shared" si="37"/>
        <v>798182.2799999998</v>
      </c>
    </row>
    <row r="86" spans="1:28" ht="20.25" customHeight="1">
      <c r="A86" s="47" t="s">
        <v>125</v>
      </c>
      <c r="B86" s="60" t="s">
        <v>126</v>
      </c>
      <c r="C86" s="6">
        <v>32440.32</v>
      </c>
      <c r="D86" s="75">
        <v>35036.800000000003</v>
      </c>
      <c r="E86" s="6">
        <v>32440.32</v>
      </c>
      <c r="F86" s="75">
        <v>35036.800000000003</v>
      </c>
      <c r="G86" s="6">
        <v>32440.32</v>
      </c>
      <c r="H86" s="75">
        <v>35036.800000000003</v>
      </c>
      <c r="I86" s="6">
        <v>32440.32</v>
      </c>
      <c r="J86" s="75">
        <v>35036.800000000003</v>
      </c>
      <c r="K86" s="6">
        <v>32440.32</v>
      </c>
      <c r="L86" s="75">
        <v>35036.800000000003</v>
      </c>
      <c r="M86" s="6">
        <v>32440.32</v>
      </c>
      <c r="N86" s="75">
        <v>35036.800000000003</v>
      </c>
      <c r="O86" s="6">
        <v>32440.32</v>
      </c>
      <c r="P86" s="75">
        <v>35036.800000000003</v>
      </c>
      <c r="Q86" s="6">
        <f>M86*1.07</f>
        <v>34711.142400000004</v>
      </c>
      <c r="R86" s="75">
        <v>35737.54</v>
      </c>
      <c r="S86" s="6">
        <f t="shared" si="39"/>
        <v>34711.142400000004</v>
      </c>
      <c r="T86" s="75">
        <v>35737.54</v>
      </c>
      <c r="U86" s="6">
        <f t="shared" si="40"/>
        <v>34711.142400000004</v>
      </c>
      <c r="V86" s="75">
        <v>35737.54</v>
      </c>
      <c r="W86" s="6">
        <f t="shared" si="41"/>
        <v>34711.142400000004</v>
      </c>
      <c r="X86" s="75">
        <v>35737.54</v>
      </c>
      <c r="Y86" s="6">
        <f t="shared" si="42"/>
        <v>34711.142400000004</v>
      </c>
      <c r="Z86" s="75">
        <v>35737.54</v>
      </c>
      <c r="AA86" s="6">
        <f t="shared" si="36"/>
        <v>400637.95200000005</v>
      </c>
      <c r="AB86" s="43">
        <f t="shared" si="37"/>
        <v>423945.29999999987</v>
      </c>
    </row>
    <row r="87" spans="1:28" ht="20.25" customHeight="1">
      <c r="A87" s="47" t="s">
        <v>127</v>
      </c>
      <c r="B87" s="60" t="s">
        <v>81</v>
      </c>
      <c r="C87" s="6">
        <v>1350</v>
      </c>
      <c r="D87" s="75">
        <v>1350</v>
      </c>
      <c r="E87" s="6">
        <v>1350</v>
      </c>
      <c r="F87" s="75">
        <v>1350</v>
      </c>
      <c r="G87" s="6">
        <v>1350</v>
      </c>
      <c r="H87" s="75">
        <v>1350</v>
      </c>
      <c r="I87" s="36">
        <f>(G87/30*17)+(K87/30*13)</f>
        <v>1390.9499999999998</v>
      </c>
      <c r="J87" s="75">
        <v>1377</v>
      </c>
      <c r="K87" s="6">
        <f>G87*1.07</f>
        <v>1444.5</v>
      </c>
      <c r="L87" s="75">
        <v>1377</v>
      </c>
      <c r="M87" s="6">
        <f>K87</f>
        <v>1444.5</v>
      </c>
      <c r="N87" s="75">
        <v>1377</v>
      </c>
      <c r="O87" s="6">
        <f>M87</f>
        <v>1444.5</v>
      </c>
      <c r="P87" s="75">
        <v>1377</v>
      </c>
      <c r="Q87" s="6">
        <f>O87</f>
        <v>1444.5</v>
      </c>
      <c r="R87" s="75">
        <v>1377</v>
      </c>
      <c r="S87" s="6">
        <f t="shared" si="39"/>
        <v>1444.5</v>
      </c>
      <c r="T87" s="75">
        <v>1377</v>
      </c>
      <c r="U87" s="6">
        <f t="shared" si="40"/>
        <v>1444.5</v>
      </c>
      <c r="V87" s="75">
        <v>1377</v>
      </c>
      <c r="W87" s="6">
        <f t="shared" si="41"/>
        <v>1444.5</v>
      </c>
      <c r="X87" s="75">
        <v>1377</v>
      </c>
      <c r="Y87" s="6">
        <f t="shared" si="42"/>
        <v>1444.5</v>
      </c>
      <c r="Z87" s="75">
        <v>1377</v>
      </c>
      <c r="AA87" s="6">
        <f t="shared" si="36"/>
        <v>16996.95</v>
      </c>
      <c r="AB87" s="43">
        <f t="shared" si="37"/>
        <v>16443</v>
      </c>
    </row>
    <row r="88" spans="1:28" ht="20.25" customHeight="1">
      <c r="A88" s="47" t="s">
        <v>128</v>
      </c>
      <c r="B88" s="49"/>
      <c r="C88" s="6">
        <f>23672.8/11</f>
        <v>2152.0727272727272</v>
      </c>
      <c r="D88" s="75"/>
      <c r="E88" s="6">
        <f>C88</f>
        <v>2152.0727272727272</v>
      </c>
      <c r="F88" s="75"/>
      <c r="G88" s="6">
        <f>E88</f>
        <v>2152.0727272727272</v>
      </c>
      <c r="H88" s="75"/>
      <c r="I88" s="6">
        <f>G88</f>
        <v>2152.0727272727272</v>
      </c>
      <c r="J88" s="75"/>
      <c r="K88" s="6">
        <f>I88</f>
        <v>2152.0727272727272</v>
      </c>
      <c r="L88" s="75"/>
      <c r="M88" s="6">
        <f>K88</f>
        <v>2152.0727272727272</v>
      </c>
      <c r="N88" s="75"/>
      <c r="O88" s="6">
        <f>M88</f>
        <v>2152.0727272727272</v>
      </c>
      <c r="P88" s="75"/>
      <c r="Q88" s="6">
        <f>O88</f>
        <v>2152.0727272727272</v>
      </c>
      <c r="R88" s="75"/>
      <c r="S88" s="6">
        <f t="shared" si="39"/>
        <v>2152.0727272727272</v>
      </c>
      <c r="T88" s="75"/>
      <c r="U88" s="6">
        <f t="shared" si="40"/>
        <v>2152.0727272727272</v>
      </c>
      <c r="V88" s="75"/>
      <c r="W88" s="6">
        <f t="shared" si="41"/>
        <v>2152.0727272727272</v>
      </c>
      <c r="X88" s="75"/>
      <c r="Y88" s="6">
        <f t="shared" si="42"/>
        <v>2152.0727272727272</v>
      </c>
      <c r="Z88" s="75"/>
      <c r="AA88" s="6">
        <f t="shared" si="36"/>
        <v>25824.872727272726</v>
      </c>
      <c r="AB88" s="43">
        <f t="shared" si="37"/>
        <v>0</v>
      </c>
    </row>
    <row r="89" spans="1:28" ht="20.25" customHeight="1">
      <c r="A89" s="47" t="s">
        <v>129</v>
      </c>
      <c r="B89" s="49"/>
      <c r="C89" s="6">
        <f>74873.51/11</f>
        <v>6806.6827272727269</v>
      </c>
      <c r="D89" s="75"/>
      <c r="E89" s="6">
        <f>C89</f>
        <v>6806.6827272727269</v>
      </c>
      <c r="F89" s="75"/>
      <c r="G89" s="6">
        <f>E89</f>
        <v>6806.6827272727269</v>
      </c>
      <c r="H89" s="75"/>
      <c r="I89" s="6">
        <f>G89</f>
        <v>6806.6827272727269</v>
      </c>
      <c r="J89" s="75"/>
      <c r="K89" s="6">
        <f>I89</f>
        <v>6806.6827272727269</v>
      </c>
      <c r="L89" s="75"/>
      <c r="M89" s="6">
        <f>K89</f>
        <v>6806.6827272727269</v>
      </c>
      <c r="N89" s="75"/>
      <c r="O89" s="6">
        <f>M89</f>
        <v>6806.6827272727269</v>
      </c>
      <c r="P89" s="75"/>
      <c r="Q89" s="6">
        <f>O89</f>
        <v>6806.6827272727269</v>
      </c>
      <c r="R89" s="75"/>
      <c r="S89" s="6">
        <f t="shared" si="39"/>
        <v>6806.6827272727269</v>
      </c>
      <c r="T89" s="75"/>
      <c r="U89" s="6">
        <f t="shared" si="40"/>
        <v>6806.6827272727269</v>
      </c>
      <c r="V89" s="75"/>
      <c r="W89" s="6">
        <f t="shared" si="41"/>
        <v>6806.6827272727269</v>
      </c>
      <c r="X89" s="75"/>
      <c r="Y89" s="6">
        <f t="shared" si="42"/>
        <v>6806.6827272727269</v>
      </c>
      <c r="Z89" s="75"/>
      <c r="AA89" s="6">
        <f t="shared" si="36"/>
        <v>81680.192727272704</v>
      </c>
      <c r="AB89" s="43">
        <f t="shared" si="37"/>
        <v>0</v>
      </c>
    </row>
    <row r="90" spans="1:28" ht="20.25" customHeight="1">
      <c r="A90" s="47" t="s">
        <v>130</v>
      </c>
      <c r="B90" s="77" t="s">
        <v>131</v>
      </c>
      <c r="C90" s="6">
        <v>8475.08</v>
      </c>
      <c r="D90" s="75">
        <v>8475.08</v>
      </c>
      <c r="E90" s="6">
        <f>C90</f>
        <v>8475.08</v>
      </c>
      <c r="F90" s="75">
        <v>8475.08</v>
      </c>
      <c r="G90" s="6">
        <f>E90</f>
        <v>8475.08</v>
      </c>
      <c r="H90" s="75">
        <v>8475.08</v>
      </c>
      <c r="I90" s="6">
        <f>G90</f>
        <v>8475.08</v>
      </c>
      <c r="J90" s="75">
        <v>8475.08</v>
      </c>
      <c r="K90" s="6">
        <f>I90</f>
        <v>8475.08</v>
      </c>
      <c r="L90" s="75">
        <v>8475.08</v>
      </c>
      <c r="M90" s="6">
        <f>K90</f>
        <v>8475.08</v>
      </c>
      <c r="N90" s="75">
        <v>8475.08</v>
      </c>
      <c r="O90" s="6">
        <f>M90</f>
        <v>8475.08</v>
      </c>
      <c r="P90" s="75">
        <v>8475.08</v>
      </c>
      <c r="Q90" s="6">
        <f>O90</f>
        <v>8475.08</v>
      </c>
      <c r="R90" s="75">
        <v>8475.08</v>
      </c>
      <c r="S90" s="6">
        <f t="shared" si="39"/>
        <v>8475.08</v>
      </c>
      <c r="T90" s="75">
        <v>8475.08</v>
      </c>
      <c r="U90" s="6">
        <f t="shared" si="40"/>
        <v>8475.08</v>
      </c>
      <c r="V90" s="75">
        <v>8475.08</v>
      </c>
      <c r="W90" s="6">
        <f t="shared" si="41"/>
        <v>8475.08</v>
      </c>
      <c r="X90" s="75">
        <v>8475.08</v>
      </c>
      <c r="Y90" s="6">
        <f t="shared" si="42"/>
        <v>8475.08</v>
      </c>
      <c r="Z90" s="75">
        <v>8475.08</v>
      </c>
      <c r="AA90" s="6">
        <f t="shared" si="36"/>
        <v>101700.96</v>
      </c>
      <c r="AB90" s="43">
        <f t="shared" si="37"/>
        <v>101700.96</v>
      </c>
    </row>
    <row r="91" spans="1:28" ht="20.25" customHeight="1">
      <c r="A91" s="47" t="s">
        <v>132</v>
      </c>
      <c r="B91" s="60" t="s">
        <v>133</v>
      </c>
      <c r="C91" s="6">
        <v>5073.49</v>
      </c>
      <c r="D91" s="75">
        <v>5073.49</v>
      </c>
      <c r="E91" s="6">
        <f>C91</f>
        <v>5073.49</v>
      </c>
      <c r="F91" s="75">
        <f>D91</f>
        <v>5073.49</v>
      </c>
      <c r="G91" s="6">
        <f>E91</f>
        <v>5073.49</v>
      </c>
      <c r="H91" s="75">
        <f>F91</f>
        <v>5073.49</v>
      </c>
      <c r="I91" s="6">
        <f>G91</f>
        <v>5073.49</v>
      </c>
      <c r="J91" s="75">
        <f>H91</f>
        <v>5073.49</v>
      </c>
      <c r="K91" s="6">
        <f>I91</f>
        <v>5073.49</v>
      </c>
      <c r="L91" s="75">
        <f>J91</f>
        <v>5073.49</v>
      </c>
      <c r="M91" s="6">
        <f>K91</f>
        <v>5073.49</v>
      </c>
      <c r="N91" s="75">
        <f>L91</f>
        <v>5073.49</v>
      </c>
      <c r="O91" s="6">
        <f>M91</f>
        <v>5073.49</v>
      </c>
      <c r="P91" s="75">
        <f>N91</f>
        <v>5073.49</v>
      </c>
      <c r="Q91" s="6">
        <f>O91</f>
        <v>5073.49</v>
      </c>
      <c r="R91" s="75">
        <f>P91</f>
        <v>5073.49</v>
      </c>
      <c r="S91" s="6">
        <f t="shared" si="39"/>
        <v>5073.49</v>
      </c>
      <c r="T91" s="75">
        <f>R91</f>
        <v>5073.49</v>
      </c>
      <c r="U91" s="6">
        <f t="shared" si="40"/>
        <v>5073.49</v>
      </c>
      <c r="V91" s="75">
        <f>T91</f>
        <v>5073.49</v>
      </c>
      <c r="W91" s="6">
        <f t="shared" si="41"/>
        <v>5073.49</v>
      </c>
      <c r="X91" s="75">
        <f>V91</f>
        <v>5073.49</v>
      </c>
      <c r="Y91" s="6">
        <f>W91/30*26</f>
        <v>4397.0246666666662</v>
      </c>
      <c r="Z91" s="75">
        <f>X91</f>
        <v>5073.49</v>
      </c>
      <c r="AA91" s="6">
        <f t="shared" si="36"/>
        <v>60205.414666666649</v>
      </c>
      <c r="AB91" s="43">
        <f t="shared" si="37"/>
        <v>60881.879999999983</v>
      </c>
    </row>
    <row r="92" spans="1:28" ht="20.25" customHeight="1">
      <c r="A92" s="47" t="s">
        <v>134</v>
      </c>
      <c r="B92" s="47"/>
      <c r="C92" s="6">
        <v>840</v>
      </c>
      <c r="D92" s="75"/>
      <c r="E92" s="6">
        <v>840</v>
      </c>
      <c r="F92" s="75"/>
      <c r="G92" s="6">
        <v>840</v>
      </c>
      <c r="H92" s="75"/>
      <c r="I92" s="6">
        <v>840</v>
      </c>
      <c r="J92" s="75"/>
      <c r="K92" s="6">
        <v>840</v>
      </c>
      <c r="L92" s="75"/>
      <c r="M92" s="6">
        <v>840</v>
      </c>
      <c r="N92" s="75"/>
      <c r="O92" s="6">
        <v>840</v>
      </c>
      <c r="P92" s="75"/>
      <c r="Q92" s="6">
        <v>840</v>
      </c>
      <c r="R92" s="75"/>
      <c r="S92" s="6">
        <v>840</v>
      </c>
      <c r="T92" s="75"/>
      <c r="U92" s="6">
        <v>840</v>
      </c>
      <c r="V92" s="75"/>
      <c r="W92" s="6">
        <v>840</v>
      </c>
      <c r="X92" s="75"/>
      <c r="Y92" s="6">
        <v>840</v>
      </c>
      <c r="Z92" s="75"/>
      <c r="AA92" s="6">
        <f t="shared" si="36"/>
        <v>10080</v>
      </c>
      <c r="AB92" s="43">
        <f t="shared" si="37"/>
        <v>0</v>
      </c>
    </row>
    <row r="93" spans="1:28" ht="20.25" customHeight="1">
      <c r="A93" s="47" t="s">
        <v>135</v>
      </c>
      <c r="B93" s="77" t="s">
        <v>136</v>
      </c>
      <c r="C93" s="6">
        <v>8500</v>
      </c>
      <c r="D93" s="75">
        <v>10000</v>
      </c>
      <c r="E93" s="6">
        <v>8500</v>
      </c>
      <c r="F93" s="75">
        <f>D93</f>
        <v>10000</v>
      </c>
      <c r="G93" s="36">
        <f>(E93/30*1)+(I93/30*29)</f>
        <v>9075.1666666666679</v>
      </c>
      <c r="H93" s="75">
        <f>F93</f>
        <v>10000</v>
      </c>
      <c r="I93" s="6">
        <f>E93*1.07</f>
        <v>9095</v>
      </c>
      <c r="J93" s="75">
        <f t="shared" ref="J93:P93" si="43">H93</f>
        <v>10000</v>
      </c>
      <c r="K93" s="6">
        <f t="shared" si="43"/>
        <v>9095</v>
      </c>
      <c r="L93" s="75">
        <f t="shared" si="43"/>
        <v>10000</v>
      </c>
      <c r="M93" s="6">
        <f t="shared" si="43"/>
        <v>9095</v>
      </c>
      <c r="N93" s="75">
        <f t="shared" si="43"/>
        <v>10000</v>
      </c>
      <c r="O93" s="6">
        <f t="shared" si="43"/>
        <v>9095</v>
      </c>
      <c r="P93" s="75">
        <f t="shared" si="43"/>
        <v>10000</v>
      </c>
      <c r="Q93" s="6">
        <f t="shared" ref="Q93:Z93" si="44">O93</f>
        <v>9095</v>
      </c>
      <c r="R93" s="75">
        <f t="shared" si="44"/>
        <v>10000</v>
      </c>
      <c r="S93" s="6">
        <f t="shared" si="44"/>
        <v>9095</v>
      </c>
      <c r="T93" s="75">
        <f t="shared" si="44"/>
        <v>10000</v>
      </c>
      <c r="U93" s="6">
        <f t="shared" si="44"/>
        <v>9095</v>
      </c>
      <c r="V93" s="75">
        <f t="shared" si="44"/>
        <v>10000</v>
      </c>
      <c r="W93" s="6">
        <f t="shared" si="44"/>
        <v>9095</v>
      </c>
      <c r="X93" s="75">
        <f t="shared" si="44"/>
        <v>10000</v>
      </c>
      <c r="Y93" s="6">
        <f t="shared" si="44"/>
        <v>9095</v>
      </c>
      <c r="Z93" s="75">
        <f t="shared" si="44"/>
        <v>10000</v>
      </c>
      <c r="AA93" s="6">
        <f t="shared" si="36"/>
        <v>107930.16666666667</v>
      </c>
      <c r="AB93" s="43">
        <f t="shared" si="37"/>
        <v>120000</v>
      </c>
    </row>
    <row r="94" spans="1:28" ht="20.25" customHeight="1">
      <c r="A94" s="47" t="s">
        <v>137</v>
      </c>
      <c r="B94" s="47" t="s">
        <v>138</v>
      </c>
      <c r="C94" s="6">
        <v>0</v>
      </c>
      <c r="D94" s="75">
        <v>8850</v>
      </c>
      <c r="E94" s="6">
        <v>0</v>
      </c>
      <c r="F94" s="75">
        <v>8850</v>
      </c>
      <c r="G94" s="6">
        <v>0</v>
      </c>
      <c r="H94" s="75">
        <v>8850</v>
      </c>
      <c r="I94" s="6"/>
      <c r="J94" s="75">
        <v>8850</v>
      </c>
      <c r="K94" s="6">
        <v>0</v>
      </c>
      <c r="L94" s="75">
        <v>0</v>
      </c>
      <c r="M94" s="36">
        <v>0</v>
      </c>
      <c r="N94" s="75">
        <v>0</v>
      </c>
      <c r="O94" s="6">
        <v>0</v>
      </c>
      <c r="P94" s="75">
        <v>0</v>
      </c>
      <c r="Q94" s="6">
        <v>8850</v>
      </c>
      <c r="R94" s="75">
        <v>0</v>
      </c>
      <c r="S94" s="6"/>
      <c r="T94" s="75">
        <v>0</v>
      </c>
      <c r="U94" s="6">
        <v>8850</v>
      </c>
      <c r="V94" s="75">
        <v>0</v>
      </c>
      <c r="W94" s="6">
        <v>8850</v>
      </c>
      <c r="X94" s="75">
        <v>0</v>
      </c>
      <c r="Y94" s="6">
        <v>8850</v>
      </c>
      <c r="Z94" s="75">
        <v>0</v>
      </c>
      <c r="AA94" s="6">
        <f t="shared" si="36"/>
        <v>35400</v>
      </c>
      <c r="AB94" s="43">
        <f t="shared" si="37"/>
        <v>35400</v>
      </c>
    </row>
    <row r="95" spans="1:28" ht="20.25" customHeight="1">
      <c r="A95" s="47" t="s">
        <v>139</v>
      </c>
      <c r="B95" s="60" t="s">
        <v>140</v>
      </c>
      <c r="C95" s="6">
        <v>0</v>
      </c>
      <c r="D95" s="75">
        <v>9000</v>
      </c>
      <c r="E95" s="6"/>
      <c r="F95" s="75">
        <f>D95</f>
        <v>9000</v>
      </c>
      <c r="G95" s="6"/>
      <c r="H95" s="75">
        <f>F95</f>
        <v>9000</v>
      </c>
      <c r="I95" s="6"/>
      <c r="J95" s="75">
        <f>H95</f>
        <v>9000</v>
      </c>
      <c r="K95" s="6"/>
      <c r="L95" s="75">
        <f>J95</f>
        <v>9000</v>
      </c>
      <c r="M95" s="36"/>
      <c r="N95" s="75">
        <f>L95</f>
        <v>9000</v>
      </c>
      <c r="O95" s="6"/>
      <c r="P95" s="75">
        <f>N95</f>
        <v>9000</v>
      </c>
      <c r="Q95" s="6"/>
      <c r="R95" s="75">
        <f>P95</f>
        <v>9000</v>
      </c>
      <c r="S95" s="6">
        <v>9000</v>
      </c>
      <c r="T95" s="75">
        <v>9180</v>
      </c>
      <c r="U95" s="6">
        <v>9000</v>
      </c>
      <c r="V95" s="75">
        <f>T95</f>
        <v>9180</v>
      </c>
      <c r="W95" s="6">
        <v>9000</v>
      </c>
      <c r="X95" s="75">
        <f>V95</f>
        <v>9180</v>
      </c>
      <c r="Y95" s="6">
        <v>9000</v>
      </c>
      <c r="Z95" s="75">
        <f>X95</f>
        <v>9180</v>
      </c>
      <c r="AA95" s="6">
        <f t="shared" si="36"/>
        <v>36000</v>
      </c>
      <c r="AB95" s="43">
        <f t="shared" si="37"/>
        <v>108720</v>
      </c>
    </row>
    <row r="96" spans="1:28" ht="20.25" customHeight="1">
      <c r="A96" s="47" t="s">
        <v>141</v>
      </c>
      <c r="B96" s="60" t="s">
        <v>142</v>
      </c>
      <c r="C96" s="6">
        <v>325818.23999999999</v>
      </c>
      <c r="D96" s="75">
        <v>355038.75</v>
      </c>
      <c r="E96" s="6">
        <v>325898.02</v>
      </c>
      <c r="F96" s="75">
        <v>355038.75</v>
      </c>
      <c r="G96" s="6">
        <v>328801.32</v>
      </c>
      <c r="H96" s="75">
        <v>355038.75</v>
      </c>
      <c r="I96" s="6">
        <v>328721.53999999998</v>
      </c>
      <c r="J96" s="75">
        <v>355038.75</v>
      </c>
      <c r="K96" s="6">
        <v>380298.39</v>
      </c>
      <c r="L96" s="75">
        <v>355038.75</v>
      </c>
      <c r="M96" s="6">
        <v>379611.35</v>
      </c>
      <c r="N96" s="75">
        <v>355038.75</v>
      </c>
      <c r="O96" s="6">
        <v>379577.13</v>
      </c>
      <c r="P96" s="75">
        <v>355038.75</v>
      </c>
      <c r="Q96" s="6">
        <v>381906.34</v>
      </c>
      <c r="R96" s="75">
        <v>355038.75</v>
      </c>
      <c r="S96" s="6">
        <v>33280.839999999997</v>
      </c>
      <c r="T96" s="75">
        <v>362139.52</v>
      </c>
      <c r="U96" s="6">
        <v>385515.31</v>
      </c>
      <c r="V96" s="75">
        <v>362139.52</v>
      </c>
      <c r="W96" s="6">
        <v>355036.75</v>
      </c>
      <c r="X96" s="75">
        <v>362139.52</v>
      </c>
      <c r="Y96" s="6">
        <v>355036.75</v>
      </c>
      <c r="Z96" s="75">
        <v>362139.52</v>
      </c>
      <c r="AA96" s="6">
        <f>SUM(C96+E96+G96+I96+K96+M96+O96+Q96+S96+U96+W96+Y96)</f>
        <v>3959501.98</v>
      </c>
      <c r="AB96" s="43">
        <f>SUM(D96+F96+H96+J96+L96+N96+P96+R96+T96+V96+X96+Z96)</f>
        <v>4288868.08</v>
      </c>
    </row>
    <row r="97" spans="1:28" ht="20.25" customHeight="1">
      <c r="A97" s="47" t="s">
        <v>143</v>
      </c>
      <c r="B97" s="60" t="s">
        <v>67</v>
      </c>
      <c r="C97" s="6">
        <v>525</v>
      </c>
      <c r="D97" s="75">
        <v>562.48</v>
      </c>
      <c r="E97" s="6">
        <v>525</v>
      </c>
      <c r="F97" s="75">
        <v>562.48</v>
      </c>
      <c r="G97" s="6">
        <v>525</v>
      </c>
      <c r="H97" s="75">
        <v>562.48</v>
      </c>
      <c r="I97" s="6">
        <v>525</v>
      </c>
      <c r="J97" s="75">
        <v>562.48</v>
      </c>
      <c r="K97" s="6">
        <v>525</v>
      </c>
      <c r="L97" s="75">
        <v>562.48</v>
      </c>
      <c r="M97" s="6">
        <v>525</v>
      </c>
      <c r="N97" s="75">
        <v>562.48</v>
      </c>
      <c r="O97" s="6">
        <v>525</v>
      </c>
      <c r="P97" s="75">
        <v>562.48</v>
      </c>
      <c r="Q97" s="6">
        <v>525</v>
      </c>
      <c r="R97" s="75">
        <v>562.48</v>
      </c>
      <c r="S97" s="6">
        <v>525</v>
      </c>
      <c r="T97" s="75">
        <v>562.48</v>
      </c>
      <c r="U97" s="6">
        <v>525</v>
      </c>
      <c r="V97" s="75">
        <v>562.48</v>
      </c>
      <c r="W97" s="6">
        <v>525</v>
      </c>
      <c r="X97" s="75">
        <v>562.48</v>
      </c>
      <c r="Y97" s="6">
        <v>525</v>
      </c>
      <c r="Z97" s="75">
        <v>562.48</v>
      </c>
      <c r="AA97" s="6">
        <f t="shared" ref="AA97:AB100" si="45">SUM(C97+E97+G97+I97+K97+M97+O97+Q97+S97+U97+W97+Y97)</f>
        <v>6300</v>
      </c>
      <c r="AB97" s="43">
        <f t="shared" si="45"/>
        <v>6749.7599999999984</v>
      </c>
    </row>
    <row r="98" spans="1:28" ht="20.25" customHeight="1">
      <c r="A98" s="47" t="s">
        <v>144</v>
      </c>
      <c r="B98" s="60" t="s">
        <v>145</v>
      </c>
      <c r="C98" s="6">
        <v>19023.240000000002</v>
      </c>
      <c r="D98" s="75">
        <v>19875.5</v>
      </c>
      <c r="E98" s="6">
        <v>19023.240000000002</v>
      </c>
      <c r="F98" s="75">
        <v>19875.5</v>
      </c>
      <c r="G98" s="6">
        <v>19023.240000000002</v>
      </c>
      <c r="H98" s="75">
        <v>19875.5</v>
      </c>
      <c r="I98" s="6">
        <v>19023.240000000002</v>
      </c>
      <c r="J98" s="75">
        <v>19875.5</v>
      </c>
      <c r="K98" s="6">
        <v>19023.240000000002</v>
      </c>
      <c r="L98" s="75">
        <v>19875.5</v>
      </c>
      <c r="M98" s="6">
        <v>19023.240000000002</v>
      </c>
      <c r="N98" s="75">
        <v>19875.5</v>
      </c>
      <c r="O98" s="6">
        <v>19023.240000000002</v>
      </c>
      <c r="P98" s="75">
        <v>19875.5</v>
      </c>
      <c r="Q98" s="6">
        <v>19023.240000000002</v>
      </c>
      <c r="R98" s="75">
        <v>19875.5</v>
      </c>
      <c r="S98" s="6">
        <v>19023.240000000002</v>
      </c>
      <c r="T98" s="75">
        <v>19875.5</v>
      </c>
      <c r="U98" s="6">
        <v>19023.240000000002</v>
      </c>
      <c r="V98" s="75">
        <v>19875.5</v>
      </c>
      <c r="W98" s="6">
        <v>19023.240000000002</v>
      </c>
      <c r="X98" s="75">
        <v>19875.5</v>
      </c>
      <c r="Y98" s="6">
        <v>19023.240000000002</v>
      </c>
      <c r="Z98" s="75">
        <v>19875.5</v>
      </c>
      <c r="AA98" s="6">
        <f t="shared" si="45"/>
        <v>228278.87999999998</v>
      </c>
      <c r="AB98" s="43">
        <f t="shared" si="45"/>
        <v>238506</v>
      </c>
    </row>
    <row r="99" spans="1:28" ht="20.25" customHeight="1">
      <c r="A99" s="47" t="s">
        <v>146</v>
      </c>
      <c r="B99" s="60" t="s">
        <v>147</v>
      </c>
      <c r="C99" s="6">
        <v>10391.06</v>
      </c>
      <c r="D99" s="75">
        <v>10391.06</v>
      </c>
      <c r="E99" s="6">
        <v>10391.06</v>
      </c>
      <c r="F99" s="75">
        <v>10391.06</v>
      </c>
      <c r="G99" s="6">
        <v>10391.06</v>
      </c>
      <c r="H99" s="75">
        <v>10391.06</v>
      </c>
      <c r="I99" s="6">
        <v>10391.06</v>
      </c>
      <c r="J99" s="75">
        <v>10391.06</v>
      </c>
      <c r="K99" s="6">
        <v>10391.06</v>
      </c>
      <c r="L99" s="75">
        <v>10391.06</v>
      </c>
      <c r="M99" s="6">
        <v>10391.06</v>
      </c>
      <c r="N99" s="75">
        <v>10391.06</v>
      </c>
      <c r="O99" s="6">
        <v>10391.06</v>
      </c>
      <c r="P99" s="75">
        <v>10391.06</v>
      </c>
      <c r="Q99" s="6">
        <v>10391.06</v>
      </c>
      <c r="R99" s="75">
        <v>10391.06</v>
      </c>
      <c r="S99" s="6">
        <v>10391.06</v>
      </c>
      <c r="T99" s="75">
        <v>10391.06</v>
      </c>
      <c r="U99" s="6">
        <v>10391.06</v>
      </c>
      <c r="V99" s="75">
        <v>10391.06</v>
      </c>
      <c r="W99" s="6">
        <v>10391.06</v>
      </c>
      <c r="X99" s="75">
        <v>10391.06</v>
      </c>
      <c r="Y99" s="6">
        <v>10391.06</v>
      </c>
      <c r="Z99" s="75">
        <v>10391.06</v>
      </c>
      <c r="AA99" s="6">
        <f t="shared" si="45"/>
        <v>124692.71999999999</v>
      </c>
      <c r="AB99" s="43">
        <f t="shared" si="45"/>
        <v>124692.71999999999</v>
      </c>
    </row>
    <row r="100" spans="1:28" ht="20.25" customHeight="1">
      <c r="A100" s="47" t="s">
        <v>148</v>
      </c>
      <c r="B100" s="60" t="s">
        <v>149</v>
      </c>
      <c r="C100" s="6">
        <v>1254.01</v>
      </c>
      <c r="D100" s="75">
        <f>1311.3</f>
        <v>1311.3</v>
      </c>
      <c r="E100" s="6">
        <v>1254.01</v>
      </c>
      <c r="F100" s="75">
        <f>1311.3</f>
        <v>1311.3</v>
      </c>
      <c r="G100" s="6">
        <v>1254.01</v>
      </c>
      <c r="H100" s="75">
        <f>1311.3</f>
        <v>1311.3</v>
      </c>
      <c r="I100" s="6">
        <v>1254.01</v>
      </c>
      <c r="J100" s="75">
        <f>1311.3</f>
        <v>1311.3</v>
      </c>
      <c r="K100" s="6">
        <v>1254.01</v>
      </c>
      <c r="L100" s="75">
        <f>1311.3</f>
        <v>1311.3</v>
      </c>
      <c r="M100" s="36">
        <v>1254.01</v>
      </c>
      <c r="N100" s="75">
        <f>1311.3</f>
        <v>1311.3</v>
      </c>
      <c r="O100" s="6">
        <f>(M100/30*14)+(S100/30*16)</f>
        <v>1300.8263733333333</v>
      </c>
      <c r="P100" s="75">
        <v>1337.53</v>
      </c>
      <c r="Q100" s="6">
        <f>M100*1.07</f>
        <v>1341.7907</v>
      </c>
      <c r="R100" s="75">
        <v>1337.53</v>
      </c>
      <c r="S100" s="6">
        <f>Q100</f>
        <v>1341.7907</v>
      </c>
      <c r="T100" s="75">
        <v>1337.53</v>
      </c>
      <c r="U100" s="6">
        <f>S100</f>
        <v>1341.7907</v>
      </c>
      <c r="V100" s="75">
        <v>1337.53</v>
      </c>
      <c r="W100" s="6">
        <f>U100</f>
        <v>1341.7907</v>
      </c>
      <c r="X100" s="75">
        <v>1337.53</v>
      </c>
      <c r="Y100" s="6">
        <f>W100</f>
        <v>1341.7907</v>
      </c>
      <c r="Z100" s="75">
        <v>1337.53</v>
      </c>
      <c r="AA100" s="6">
        <f t="shared" si="45"/>
        <v>15533.839873333332</v>
      </c>
      <c r="AB100" s="43">
        <f t="shared" si="45"/>
        <v>15892.980000000003</v>
      </c>
    </row>
    <row r="101" spans="1:28" ht="20.25" customHeight="1">
      <c r="B101" s="60" t="s">
        <v>150</v>
      </c>
      <c r="C101" s="6"/>
      <c r="D101" s="75"/>
      <c r="E101" s="6"/>
      <c r="F101" s="75"/>
      <c r="G101" s="36"/>
      <c r="H101" s="75"/>
      <c r="I101" s="6"/>
      <c r="J101" s="75"/>
      <c r="K101" s="6"/>
      <c r="L101" s="75"/>
      <c r="M101" s="6"/>
      <c r="N101" s="75"/>
      <c r="O101" s="6"/>
      <c r="P101" s="75"/>
      <c r="Q101" s="6"/>
      <c r="R101" s="75"/>
      <c r="S101" s="6"/>
      <c r="T101" s="75"/>
      <c r="U101" s="6"/>
      <c r="V101" s="75"/>
      <c r="W101" s="6"/>
      <c r="X101" s="75"/>
      <c r="Y101" s="6"/>
      <c r="Z101" s="75"/>
      <c r="AA101" s="6"/>
      <c r="AB101" s="43"/>
    </row>
    <row r="102" spans="1:28" ht="20.25" customHeight="1">
      <c r="A102" s="64" t="s">
        <v>151</v>
      </c>
      <c r="B102" s="7"/>
      <c r="C102" s="8">
        <f t="shared" ref="C102:AB102" si="46">SUM(C80:C101)</f>
        <v>483520.90512787877</v>
      </c>
      <c r="D102" s="8">
        <f t="shared" si="46"/>
        <v>544059.65000000014</v>
      </c>
      <c r="E102" s="8">
        <f t="shared" si="46"/>
        <v>483928.1881545455</v>
      </c>
      <c r="F102" s="8">
        <f t="shared" si="46"/>
        <v>544059.65000000014</v>
      </c>
      <c r="G102" s="8">
        <f t="shared" si="46"/>
        <v>487406.65482121211</v>
      </c>
      <c r="H102" s="8">
        <f t="shared" si="46"/>
        <v>544059.65000000014</v>
      </c>
      <c r="I102" s="8">
        <f t="shared" si="46"/>
        <v>487387.65815454541</v>
      </c>
      <c r="J102" s="8">
        <f t="shared" si="46"/>
        <v>544086.65000000014</v>
      </c>
      <c r="K102" s="8">
        <f t="shared" si="46"/>
        <v>539018.05815454561</v>
      </c>
      <c r="L102" s="8">
        <f t="shared" si="46"/>
        <v>535236.65</v>
      </c>
      <c r="M102" s="8">
        <f t="shared" si="46"/>
        <v>538331.01815454557</v>
      </c>
      <c r="N102" s="8">
        <f t="shared" si="46"/>
        <v>535236.65</v>
      </c>
      <c r="O102" s="8">
        <f t="shared" si="46"/>
        <v>538431.72119454551</v>
      </c>
      <c r="P102" s="8">
        <f t="shared" si="46"/>
        <v>535262.88</v>
      </c>
      <c r="Q102" s="8">
        <f t="shared" si="46"/>
        <v>552165.01125454553</v>
      </c>
      <c r="R102" s="8">
        <f t="shared" si="46"/>
        <v>535963.62000000011</v>
      </c>
      <c r="S102" s="8">
        <f t="shared" si="46"/>
        <v>203689.51125454545</v>
      </c>
      <c r="T102" s="8">
        <f t="shared" si="46"/>
        <v>543244.39000000013</v>
      </c>
      <c r="U102" s="8">
        <f t="shared" si="46"/>
        <v>564773.98125454551</v>
      </c>
      <c r="V102" s="8">
        <f t="shared" si="46"/>
        <v>543244.39000000013</v>
      </c>
      <c r="W102" s="8">
        <f t="shared" si="46"/>
        <v>534295.42125454545</v>
      </c>
      <c r="X102" s="8">
        <f t="shared" si="46"/>
        <v>543244.39000000013</v>
      </c>
      <c r="Y102" s="8">
        <f t="shared" si="46"/>
        <v>533665.62592121214</v>
      </c>
      <c r="Z102" s="8">
        <f t="shared" si="46"/>
        <v>543244.39000000013</v>
      </c>
      <c r="AA102" s="8">
        <f t="shared" si="46"/>
        <v>5946613.754701212</v>
      </c>
      <c r="AB102" s="74">
        <f t="shared" si="46"/>
        <v>6490942.96</v>
      </c>
    </row>
    <row r="103" spans="1:28" ht="26.65" customHeight="1">
      <c r="A103" s="63" t="s">
        <v>152</v>
      </c>
      <c r="B103" s="46"/>
      <c r="C103" s="29" t="s">
        <v>3</v>
      </c>
      <c r="D103" s="78">
        <f>D79</f>
        <v>43101</v>
      </c>
      <c r="E103" s="29" t="s">
        <v>4</v>
      </c>
      <c r="F103" s="78">
        <f>F79</f>
        <v>43132</v>
      </c>
      <c r="G103" s="29" t="s">
        <v>5</v>
      </c>
      <c r="H103" s="78">
        <f>H79</f>
        <v>43160</v>
      </c>
      <c r="I103" s="29" t="s">
        <v>6</v>
      </c>
      <c r="J103" s="78">
        <f>J79</f>
        <v>43191</v>
      </c>
      <c r="K103" s="29" t="s">
        <v>7</v>
      </c>
      <c r="L103" s="78">
        <f>L79</f>
        <v>43221</v>
      </c>
      <c r="M103" s="29" t="s">
        <v>8</v>
      </c>
      <c r="N103" s="78">
        <f>N79</f>
        <v>43252</v>
      </c>
      <c r="O103" s="29" t="s">
        <v>9</v>
      </c>
      <c r="P103" s="78">
        <f>P79</f>
        <v>43282</v>
      </c>
      <c r="Q103" s="29" t="s">
        <v>10</v>
      </c>
      <c r="R103" s="78">
        <f>R79</f>
        <v>43313</v>
      </c>
      <c r="S103" s="10" t="s">
        <v>11</v>
      </c>
      <c r="T103" s="78">
        <f>T79</f>
        <v>43344</v>
      </c>
      <c r="U103" s="10" t="s">
        <v>12</v>
      </c>
      <c r="V103" s="78">
        <f>V79</f>
        <v>43374</v>
      </c>
      <c r="W103" s="10" t="s">
        <v>13</v>
      </c>
      <c r="X103" s="78">
        <f>X79</f>
        <v>43405</v>
      </c>
      <c r="Y103" s="10" t="s">
        <v>14</v>
      </c>
      <c r="Z103" s="78">
        <f>Z79</f>
        <v>43435</v>
      </c>
      <c r="AA103" s="10" t="s">
        <v>37</v>
      </c>
      <c r="AB103" s="42" t="str">
        <f>AB53</f>
        <v>TOTAL 2018</v>
      </c>
    </row>
    <row r="104" spans="1:28" ht="20.25" customHeight="1">
      <c r="A104" s="47" t="s">
        <v>153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v>0</v>
      </c>
      <c r="J104" s="6"/>
      <c r="K104" s="6">
        <v>0</v>
      </c>
      <c r="L104" s="6"/>
      <c r="M104" s="6">
        <v>0</v>
      </c>
      <c r="N104" s="6"/>
      <c r="O104" s="6">
        <v>0</v>
      </c>
      <c r="P104" s="6"/>
      <c r="Q104" s="6">
        <v>0</v>
      </c>
      <c r="R104" s="6"/>
      <c r="S104" s="6">
        <v>0</v>
      </c>
      <c r="T104" s="6"/>
      <c r="U104" s="6">
        <v>0</v>
      </c>
      <c r="V104" s="6"/>
      <c r="W104" s="6">
        <v>0</v>
      </c>
      <c r="X104" s="6"/>
      <c r="Y104" s="6">
        <v>0</v>
      </c>
      <c r="Z104" s="6"/>
      <c r="AA104" s="6">
        <f t="shared" ref="AA104:AA127" si="47">SUM(C104+E104+G104+I104+K104+M104+O104+Q104+S104+U104+W104+Y104)</f>
        <v>0</v>
      </c>
      <c r="AB104" s="43">
        <f t="shared" ref="AB104:AB127" si="48">SUM(D104+F104+H104+J104+L104+N104+P104+R104+T104+V104+X104+Z104)</f>
        <v>0</v>
      </c>
    </row>
    <row r="105" spans="1:28" ht="20.25" customHeight="1">
      <c r="A105" s="47" t="s">
        <v>154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v>0</v>
      </c>
      <c r="J105" s="6"/>
      <c r="K105" s="6">
        <v>0</v>
      </c>
      <c r="L105" s="6"/>
      <c r="M105" s="6">
        <v>0</v>
      </c>
      <c r="N105" s="6"/>
      <c r="O105" s="6">
        <v>0</v>
      </c>
      <c r="P105" s="6"/>
      <c r="Q105" s="6">
        <v>0</v>
      </c>
      <c r="R105" s="6"/>
      <c r="S105" s="6">
        <v>0</v>
      </c>
      <c r="T105" s="6"/>
      <c r="U105" s="6">
        <v>0</v>
      </c>
      <c r="V105" s="6"/>
      <c r="W105" s="6">
        <v>0</v>
      </c>
      <c r="X105" s="6"/>
      <c r="Y105" s="6">
        <v>0</v>
      </c>
      <c r="Z105" s="6"/>
      <c r="AA105" s="6">
        <f t="shared" si="47"/>
        <v>0</v>
      </c>
      <c r="AB105" s="43">
        <f t="shared" si="48"/>
        <v>0</v>
      </c>
    </row>
    <row r="106" spans="1:28" ht="20.25" customHeight="1">
      <c r="A106" s="47" t="s">
        <v>155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v>0</v>
      </c>
      <c r="J106" s="6"/>
      <c r="K106" s="6">
        <v>0</v>
      </c>
      <c r="L106" s="6"/>
      <c r="M106" s="6">
        <v>0</v>
      </c>
      <c r="N106" s="6"/>
      <c r="O106" s="6">
        <v>0</v>
      </c>
      <c r="P106" s="6"/>
      <c r="Q106" s="6">
        <v>0</v>
      </c>
      <c r="R106" s="6"/>
      <c r="S106" s="6">
        <v>0</v>
      </c>
      <c r="T106" s="6"/>
      <c r="U106" s="6">
        <v>0</v>
      </c>
      <c r="V106" s="6"/>
      <c r="W106" s="6">
        <v>0</v>
      </c>
      <c r="X106" s="6"/>
      <c r="Y106" s="6">
        <v>0</v>
      </c>
      <c r="Z106" s="6"/>
      <c r="AA106" s="6">
        <f t="shared" si="47"/>
        <v>0</v>
      </c>
      <c r="AB106" s="43">
        <f t="shared" si="48"/>
        <v>0</v>
      </c>
    </row>
    <row r="107" spans="1:28" ht="20.25" customHeight="1">
      <c r="A107" s="47" t="s">
        <v>156</v>
      </c>
      <c r="C107" s="6">
        <v>0</v>
      </c>
      <c r="D107" s="6"/>
      <c r="E107" s="6">
        <v>0</v>
      </c>
      <c r="F107" s="6"/>
      <c r="G107" s="6">
        <v>0</v>
      </c>
      <c r="H107" s="6"/>
      <c r="I107" s="6">
        <v>0</v>
      </c>
      <c r="J107" s="6"/>
      <c r="K107" s="6">
        <v>0</v>
      </c>
      <c r="L107" s="6"/>
      <c r="M107" s="6">
        <v>0</v>
      </c>
      <c r="N107" s="6"/>
      <c r="O107" s="6">
        <v>0</v>
      </c>
      <c r="P107" s="6"/>
      <c r="Q107" s="6">
        <v>0</v>
      </c>
      <c r="R107" s="6"/>
      <c r="S107" s="6">
        <v>0</v>
      </c>
      <c r="T107" s="6"/>
      <c r="U107" s="6">
        <v>0</v>
      </c>
      <c r="V107" s="6"/>
      <c r="W107" s="6">
        <v>0</v>
      </c>
      <c r="X107" s="6"/>
      <c r="Y107" s="6">
        <v>0</v>
      </c>
      <c r="Z107" s="6"/>
      <c r="AA107" s="6">
        <f t="shared" si="47"/>
        <v>0</v>
      </c>
      <c r="AB107" s="43">
        <f t="shared" si="48"/>
        <v>0</v>
      </c>
    </row>
    <row r="108" spans="1:28" ht="20.25" customHeight="1">
      <c r="A108" s="47" t="s">
        <v>157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v>0</v>
      </c>
      <c r="J108" s="6"/>
      <c r="K108" s="6">
        <v>0</v>
      </c>
      <c r="L108" s="6"/>
      <c r="M108" s="6">
        <v>0</v>
      </c>
      <c r="N108" s="6"/>
      <c r="O108" s="6">
        <v>0</v>
      </c>
      <c r="P108" s="6"/>
      <c r="Q108" s="6">
        <v>0</v>
      </c>
      <c r="R108" s="6"/>
      <c r="S108" s="6">
        <v>0</v>
      </c>
      <c r="T108" s="6"/>
      <c r="U108" s="6">
        <v>0</v>
      </c>
      <c r="V108" s="6"/>
      <c r="W108" s="6">
        <v>0</v>
      </c>
      <c r="X108" s="6"/>
      <c r="Y108" s="6">
        <v>0</v>
      </c>
      <c r="Z108" s="6"/>
      <c r="AA108" s="6">
        <f t="shared" si="47"/>
        <v>0</v>
      </c>
      <c r="AB108" s="43">
        <f t="shared" si="48"/>
        <v>0</v>
      </c>
    </row>
    <row r="109" spans="1:28" ht="20.25" customHeight="1">
      <c r="A109" s="47" t="s">
        <v>158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v>0</v>
      </c>
      <c r="J109" s="6"/>
      <c r="K109" s="6">
        <v>0</v>
      </c>
      <c r="L109" s="6"/>
      <c r="M109" s="6">
        <v>0</v>
      </c>
      <c r="N109" s="6"/>
      <c r="O109" s="6">
        <v>0</v>
      </c>
      <c r="P109" s="6"/>
      <c r="Q109" s="6">
        <v>0</v>
      </c>
      <c r="R109" s="6"/>
      <c r="S109" s="6">
        <v>0</v>
      </c>
      <c r="T109" s="6"/>
      <c r="U109" s="6">
        <v>0</v>
      </c>
      <c r="V109" s="6"/>
      <c r="W109" s="6">
        <v>0</v>
      </c>
      <c r="X109" s="6"/>
      <c r="Y109" s="6">
        <v>0</v>
      </c>
      <c r="Z109" s="6"/>
      <c r="AA109" s="6">
        <f t="shared" si="47"/>
        <v>0</v>
      </c>
      <c r="AB109" s="43">
        <f t="shared" si="48"/>
        <v>0</v>
      </c>
    </row>
    <row r="110" spans="1:28" ht="20.25" customHeight="1">
      <c r="A110" s="47" t="s">
        <v>159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v>0</v>
      </c>
      <c r="J110" s="6"/>
      <c r="K110" s="6">
        <v>0</v>
      </c>
      <c r="L110" s="6"/>
      <c r="M110" s="6">
        <v>0</v>
      </c>
      <c r="N110" s="6"/>
      <c r="O110" s="6">
        <v>0</v>
      </c>
      <c r="P110" s="6"/>
      <c r="Q110" s="6">
        <v>0</v>
      </c>
      <c r="R110" s="6"/>
      <c r="S110" s="6">
        <v>0</v>
      </c>
      <c r="T110" s="6"/>
      <c r="U110" s="6">
        <v>0</v>
      </c>
      <c r="V110" s="6"/>
      <c r="W110" s="6">
        <v>0</v>
      </c>
      <c r="X110" s="6"/>
      <c r="Y110" s="6">
        <v>0</v>
      </c>
      <c r="Z110" s="6"/>
      <c r="AA110" s="6">
        <f t="shared" si="47"/>
        <v>0</v>
      </c>
      <c r="AB110" s="43">
        <f t="shared" si="48"/>
        <v>0</v>
      </c>
    </row>
    <row r="111" spans="1:28" ht="20.25" customHeight="1">
      <c r="A111" s="47" t="s">
        <v>160</v>
      </c>
      <c r="C111" s="6">
        <v>0</v>
      </c>
      <c r="D111" s="6"/>
      <c r="E111" s="6">
        <v>0</v>
      </c>
      <c r="F111" s="6"/>
      <c r="G111" s="6">
        <v>0</v>
      </c>
      <c r="H111" s="6"/>
      <c r="I111" s="6">
        <v>0</v>
      </c>
      <c r="J111" s="6"/>
      <c r="K111" s="6">
        <v>0</v>
      </c>
      <c r="L111" s="6"/>
      <c r="M111" s="6">
        <v>0</v>
      </c>
      <c r="N111" s="6"/>
      <c r="O111" s="6">
        <v>0</v>
      </c>
      <c r="P111" s="6"/>
      <c r="Q111" s="6">
        <v>0</v>
      </c>
      <c r="R111" s="6"/>
      <c r="S111" s="6">
        <v>0</v>
      </c>
      <c r="T111" s="6"/>
      <c r="U111" s="6">
        <v>0</v>
      </c>
      <c r="V111" s="6"/>
      <c r="W111" s="6">
        <v>0</v>
      </c>
      <c r="X111" s="6"/>
      <c r="Y111" s="6">
        <v>0</v>
      </c>
      <c r="Z111" s="6"/>
      <c r="AA111" s="6">
        <f t="shared" si="47"/>
        <v>0</v>
      </c>
      <c r="AB111" s="43">
        <f t="shared" si="48"/>
        <v>0</v>
      </c>
    </row>
    <row r="112" spans="1:28" ht="20.25" customHeight="1">
      <c r="A112" s="47" t="s">
        <v>161</v>
      </c>
      <c r="C112" s="6">
        <v>0</v>
      </c>
      <c r="D112" s="6"/>
      <c r="E112" s="6">
        <v>0</v>
      </c>
      <c r="F112" s="6"/>
      <c r="G112" s="6">
        <v>0</v>
      </c>
      <c r="H112" s="6"/>
      <c r="I112" s="6">
        <v>0</v>
      </c>
      <c r="J112" s="6"/>
      <c r="K112" s="6">
        <v>0</v>
      </c>
      <c r="L112" s="6"/>
      <c r="M112" s="6">
        <v>0</v>
      </c>
      <c r="N112" s="6"/>
      <c r="O112" s="6">
        <v>0</v>
      </c>
      <c r="P112" s="6"/>
      <c r="Q112" s="6">
        <v>0</v>
      </c>
      <c r="R112" s="6"/>
      <c r="S112" s="6">
        <v>0</v>
      </c>
      <c r="T112" s="6"/>
      <c r="U112" s="6">
        <v>0</v>
      </c>
      <c r="V112" s="6"/>
      <c r="W112" s="6">
        <v>0</v>
      </c>
      <c r="X112" s="6"/>
      <c r="Y112" s="6">
        <v>0</v>
      </c>
      <c r="Z112" s="6"/>
      <c r="AA112" s="6">
        <f t="shared" si="47"/>
        <v>0</v>
      </c>
      <c r="AB112" s="43">
        <f t="shared" si="48"/>
        <v>0</v>
      </c>
    </row>
    <row r="113" spans="1:28" ht="20.25" customHeight="1">
      <c r="A113" s="47" t="s">
        <v>162</v>
      </c>
      <c r="C113" s="6">
        <v>0</v>
      </c>
      <c r="D113" s="6"/>
      <c r="E113" s="6">
        <v>0</v>
      </c>
      <c r="F113" s="6"/>
      <c r="G113" s="6">
        <v>0</v>
      </c>
      <c r="H113" s="6"/>
      <c r="I113" s="6">
        <v>0</v>
      </c>
      <c r="J113" s="6"/>
      <c r="K113" s="6">
        <v>0</v>
      </c>
      <c r="L113" s="6"/>
      <c r="M113" s="6">
        <v>0</v>
      </c>
      <c r="N113" s="6"/>
      <c r="O113" s="6">
        <v>0</v>
      </c>
      <c r="P113" s="6"/>
      <c r="Q113" s="6">
        <v>0</v>
      </c>
      <c r="R113" s="6"/>
      <c r="S113" s="6">
        <v>0</v>
      </c>
      <c r="T113" s="6"/>
      <c r="U113" s="6">
        <v>0</v>
      </c>
      <c r="V113" s="6"/>
      <c r="W113" s="6">
        <v>0</v>
      </c>
      <c r="X113" s="6"/>
      <c r="Y113" s="6">
        <v>0</v>
      </c>
      <c r="Z113" s="6"/>
      <c r="AA113" s="6">
        <f t="shared" si="47"/>
        <v>0</v>
      </c>
      <c r="AB113" s="43">
        <f t="shared" si="48"/>
        <v>0</v>
      </c>
    </row>
    <row r="114" spans="1:28" ht="20.25" customHeight="1">
      <c r="A114" s="47" t="s">
        <v>163</v>
      </c>
      <c r="C114" s="6">
        <v>0</v>
      </c>
      <c r="D114" s="6"/>
      <c r="E114" s="6">
        <v>0</v>
      </c>
      <c r="F114" s="6"/>
      <c r="G114" s="6">
        <v>0</v>
      </c>
      <c r="H114" s="6"/>
      <c r="I114" s="6">
        <v>0</v>
      </c>
      <c r="J114" s="6"/>
      <c r="K114" s="6">
        <v>0</v>
      </c>
      <c r="L114" s="6"/>
      <c r="M114" s="6">
        <v>0</v>
      </c>
      <c r="N114" s="6"/>
      <c r="O114" s="6">
        <v>0</v>
      </c>
      <c r="P114" s="6"/>
      <c r="Q114" s="6">
        <v>0</v>
      </c>
      <c r="R114" s="6"/>
      <c r="S114" s="6">
        <v>0</v>
      </c>
      <c r="T114" s="6"/>
      <c r="U114" s="6">
        <v>0</v>
      </c>
      <c r="V114" s="6"/>
      <c r="W114" s="6">
        <v>0</v>
      </c>
      <c r="X114" s="6"/>
      <c r="Y114" s="6">
        <v>0</v>
      </c>
      <c r="Z114" s="6"/>
      <c r="AA114" s="6">
        <f t="shared" si="47"/>
        <v>0</v>
      </c>
      <c r="AB114" s="43">
        <f t="shared" si="48"/>
        <v>0</v>
      </c>
    </row>
    <row r="115" spans="1:28" ht="20.25" customHeight="1">
      <c r="A115" s="47" t="s">
        <v>164</v>
      </c>
      <c r="C115" s="6">
        <v>0</v>
      </c>
      <c r="D115" s="6"/>
      <c r="E115" s="6">
        <v>0</v>
      </c>
      <c r="F115" s="6"/>
      <c r="G115" s="6">
        <v>0</v>
      </c>
      <c r="H115" s="6"/>
      <c r="I115" s="6">
        <v>0</v>
      </c>
      <c r="J115" s="6"/>
      <c r="K115" s="6">
        <v>0</v>
      </c>
      <c r="L115" s="6"/>
      <c r="M115" s="6">
        <v>0</v>
      </c>
      <c r="N115" s="6"/>
      <c r="O115" s="6">
        <v>0</v>
      </c>
      <c r="P115" s="6"/>
      <c r="Q115" s="6">
        <v>0</v>
      </c>
      <c r="R115" s="6"/>
      <c r="S115" s="6">
        <v>0</v>
      </c>
      <c r="T115" s="6"/>
      <c r="U115" s="6">
        <v>0</v>
      </c>
      <c r="V115" s="6"/>
      <c r="W115" s="6">
        <v>0</v>
      </c>
      <c r="X115" s="6"/>
      <c r="Y115" s="6">
        <v>0</v>
      </c>
      <c r="Z115" s="6"/>
      <c r="AA115" s="6">
        <f t="shared" si="47"/>
        <v>0</v>
      </c>
      <c r="AB115" s="43">
        <f t="shared" si="48"/>
        <v>0</v>
      </c>
    </row>
    <row r="116" spans="1:28" ht="20.25" customHeight="1">
      <c r="A116" s="47" t="s">
        <v>165</v>
      </c>
      <c r="C116" s="6">
        <v>0</v>
      </c>
      <c r="D116" s="6"/>
      <c r="E116" s="6">
        <v>0</v>
      </c>
      <c r="F116" s="6"/>
      <c r="G116" s="6">
        <v>0</v>
      </c>
      <c r="H116" s="6"/>
      <c r="I116" s="6">
        <v>0</v>
      </c>
      <c r="J116" s="6"/>
      <c r="K116" s="6">
        <v>0</v>
      </c>
      <c r="L116" s="6"/>
      <c r="M116" s="6">
        <v>0</v>
      </c>
      <c r="N116" s="6"/>
      <c r="O116" s="6">
        <v>0</v>
      </c>
      <c r="P116" s="6"/>
      <c r="Q116" s="6">
        <v>0</v>
      </c>
      <c r="R116" s="6"/>
      <c r="S116" s="6">
        <v>0</v>
      </c>
      <c r="T116" s="6"/>
      <c r="U116" s="6">
        <v>0</v>
      </c>
      <c r="V116" s="6"/>
      <c r="W116" s="6">
        <v>0</v>
      </c>
      <c r="X116" s="6"/>
      <c r="Y116" s="6">
        <v>0</v>
      </c>
      <c r="Z116" s="6"/>
      <c r="AA116" s="6">
        <f t="shared" si="47"/>
        <v>0</v>
      </c>
      <c r="AB116" s="43">
        <f t="shared" si="48"/>
        <v>0</v>
      </c>
    </row>
    <row r="117" spans="1:28" ht="20.25" customHeight="1">
      <c r="A117" s="47" t="s">
        <v>166</v>
      </c>
      <c r="C117" s="6">
        <v>0</v>
      </c>
      <c r="D117" s="6"/>
      <c r="E117" s="6">
        <v>0</v>
      </c>
      <c r="F117" s="6"/>
      <c r="G117" s="6">
        <v>0</v>
      </c>
      <c r="H117" s="6"/>
      <c r="I117" s="6">
        <v>0</v>
      </c>
      <c r="J117" s="6"/>
      <c r="K117" s="6">
        <v>0</v>
      </c>
      <c r="L117" s="6"/>
      <c r="M117" s="6">
        <v>0</v>
      </c>
      <c r="N117" s="6"/>
      <c r="O117" s="6">
        <v>0</v>
      </c>
      <c r="P117" s="6"/>
      <c r="Q117" s="6">
        <v>0</v>
      </c>
      <c r="R117" s="6"/>
      <c r="S117" s="6">
        <v>0</v>
      </c>
      <c r="T117" s="6"/>
      <c r="U117" s="6">
        <v>0</v>
      </c>
      <c r="V117" s="6"/>
      <c r="W117" s="6">
        <v>0</v>
      </c>
      <c r="X117" s="6"/>
      <c r="Y117" s="6">
        <v>0</v>
      </c>
      <c r="Z117" s="6"/>
      <c r="AA117" s="6">
        <f t="shared" si="47"/>
        <v>0</v>
      </c>
      <c r="AB117" s="43">
        <f t="shared" si="48"/>
        <v>0</v>
      </c>
    </row>
    <row r="118" spans="1:28" ht="20.25" customHeight="1">
      <c r="A118" s="47" t="s">
        <v>167</v>
      </c>
      <c r="C118" s="6">
        <v>0</v>
      </c>
      <c r="D118" s="6"/>
      <c r="E118" s="6">
        <v>0</v>
      </c>
      <c r="F118" s="6"/>
      <c r="G118" s="6">
        <v>0</v>
      </c>
      <c r="H118" s="6"/>
      <c r="I118" s="6">
        <v>0</v>
      </c>
      <c r="J118" s="6"/>
      <c r="K118" s="6">
        <v>0</v>
      </c>
      <c r="L118" s="6"/>
      <c r="M118" s="6">
        <v>0</v>
      </c>
      <c r="N118" s="6"/>
      <c r="O118" s="6">
        <v>0</v>
      </c>
      <c r="P118" s="6"/>
      <c r="Q118" s="6">
        <v>0</v>
      </c>
      <c r="R118" s="6"/>
      <c r="S118" s="6">
        <v>0</v>
      </c>
      <c r="T118" s="6"/>
      <c r="U118" s="6">
        <v>0</v>
      </c>
      <c r="V118" s="6"/>
      <c r="W118" s="6"/>
      <c r="X118" s="6"/>
      <c r="Y118" s="6">
        <v>0</v>
      </c>
      <c r="Z118" s="6"/>
      <c r="AA118" s="6">
        <f t="shared" si="47"/>
        <v>0</v>
      </c>
      <c r="AB118" s="43">
        <f t="shared" si="48"/>
        <v>0</v>
      </c>
    </row>
    <row r="119" spans="1:28" ht="20.25" customHeight="1">
      <c r="A119" s="47" t="s">
        <v>168</v>
      </c>
      <c r="C119" s="6">
        <v>0</v>
      </c>
      <c r="D119" s="6"/>
      <c r="E119" s="6">
        <v>0</v>
      </c>
      <c r="F119" s="6"/>
      <c r="G119" s="6">
        <v>0</v>
      </c>
      <c r="H119" s="6"/>
      <c r="I119" s="6">
        <v>0</v>
      </c>
      <c r="J119" s="6"/>
      <c r="K119" s="6">
        <v>0</v>
      </c>
      <c r="L119" s="6"/>
      <c r="M119" s="6">
        <v>0</v>
      </c>
      <c r="N119" s="6"/>
      <c r="O119" s="6">
        <v>0</v>
      </c>
      <c r="P119" s="6"/>
      <c r="Q119" s="6">
        <v>0</v>
      </c>
      <c r="R119" s="6"/>
      <c r="S119" s="6">
        <v>0</v>
      </c>
      <c r="T119" s="6"/>
      <c r="U119" s="6">
        <v>0</v>
      </c>
      <c r="V119" s="6"/>
      <c r="W119" s="6">
        <v>0</v>
      </c>
      <c r="X119" s="6"/>
      <c r="Y119" s="6">
        <v>0</v>
      </c>
      <c r="Z119" s="6"/>
      <c r="AA119" s="6">
        <f t="shared" si="47"/>
        <v>0</v>
      </c>
      <c r="AB119" s="43">
        <f t="shared" si="48"/>
        <v>0</v>
      </c>
    </row>
    <row r="120" spans="1:28" ht="20.25" customHeight="1">
      <c r="A120" s="47" t="s">
        <v>169</v>
      </c>
      <c r="C120" s="6">
        <v>0</v>
      </c>
      <c r="D120" s="6"/>
      <c r="E120" s="6">
        <v>0</v>
      </c>
      <c r="F120" s="6"/>
      <c r="G120" s="6">
        <v>0</v>
      </c>
      <c r="H120" s="6"/>
      <c r="I120" s="6">
        <v>0</v>
      </c>
      <c r="J120" s="6"/>
      <c r="K120" s="6">
        <v>0</v>
      </c>
      <c r="L120" s="6"/>
      <c r="M120" s="6">
        <v>0</v>
      </c>
      <c r="N120" s="6"/>
      <c r="O120" s="6">
        <v>0</v>
      </c>
      <c r="P120" s="6"/>
      <c r="Q120" s="6">
        <v>0</v>
      </c>
      <c r="R120" s="6"/>
      <c r="S120" s="6">
        <v>0</v>
      </c>
      <c r="T120" s="6"/>
      <c r="U120" s="6">
        <v>0</v>
      </c>
      <c r="V120" s="6"/>
      <c r="W120" s="6">
        <v>0</v>
      </c>
      <c r="X120" s="6"/>
      <c r="Y120" s="6">
        <v>0</v>
      </c>
      <c r="Z120" s="6"/>
      <c r="AA120" s="6">
        <f t="shared" si="47"/>
        <v>0</v>
      </c>
      <c r="AB120" s="43">
        <f t="shared" si="48"/>
        <v>0</v>
      </c>
    </row>
    <row r="121" spans="1:28" ht="20.25" customHeight="1">
      <c r="A121" s="47" t="s">
        <v>170</v>
      </c>
      <c r="C121" s="6">
        <v>0</v>
      </c>
      <c r="D121" s="6"/>
      <c r="E121" s="6">
        <v>0</v>
      </c>
      <c r="F121" s="6"/>
      <c r="G121" s="6">
        <v>0</v>
      </c>
      <c r="H121" s="6"/>
      <c r="I121" s="6">
        <v>0</v>
      </c>
      <c r="J121" s="6"/>
      <c r="K121" s="6">
        <v>0</v>
      </c>
      <c r="L121" s="6"/>
      <c r="M121" s="6">
        <v>0</v>
      </c>
      <c r="N121" s="6"/>
      <c r="O121" s="6">
        <v>0</v>
      </c>
      <c r="P121" s="6"/>
      <c r="Q121" s="6">
        <v>0</v>
      </c>
      <c r="R121" s="6"/>
      <c r="S121" s="6">
        <v>0</v>
      </c>
      <c r="T121" s="6"/>
      <c r="U121" s="6">
        <v>0</v>
      </c>
      <c r="V121" s="6"/>
      <c r="W121" s="6">
        <v>0</v>
      </c>
      <c r="X121" s="6"/>
      <c r="Y121" s="6">
        <v>0</v>
      </c>
      <c r="Z121" s="6"/>
      <c r="AA121" s="6">
        <f t="shared" si="47"/>
        <v>0</v>
      </c>
      <c r="AB121" s="43">
        <f t="shared" si="48"/>
        <v>0</v>
      </c>
    </row>
    <row r="122" spans="1:28" ht="20.25" customHeight="1">
      <c r="A122" s="47" t="s">
        <v>171</v>
      </c>
      <c r="C122" s="6">
        <v>0</v>
      </c>
      <c r="D122" s="6"/>
      <c r="E122" s="6">
        <v>0</v>
      </c>
      <c r="F122" s="6"/>
      <c r="G122" s="6">
        <v>0</v>
      </c>
      <c r="H122" s="6"/>
      <c r="I122" s="6">
        <v>0</v>
      </c>
      <c r="J122" s="6"/>
      <c r="K122" s="6">
        <v>0</v>
      </c>
      <c r="L122" s="6"/>
      <c r="M122" s="6">
        <v>0</v>
      </c>
      <c r="N122" s="6"/>
      <c r="O122" s="6">
        <v>0</v>
      </c>
      <c r="P122" s="6"/>
      <c r="Q122" s="6">
        <v>0</v>
      </c>
      <c r="R122" s="6"/>
      <c r="S122" s="6">
        <v>0</v>
      </c>
      <c r="T122" s="6"/>
      <c r="U122" s="6">
        <v>0</v>
      </c>
      <c r="V122" s="6"/>
      <c r="W122" s="6">
        <v>0</v>
      </c>
      <c r="X122" s="6"/>
      <c r="Y122" s="6">
        <v>0</v>
      </c>
      <c r="Z122" s="6"/>
      <c r="AA122" s="6">
        <f t="shared" si="47"/>
        <v>0</v>
      </c>
      <c r="AB122" s="43">
        <f t="shared" si="48"/>
        <v>0</v>
      </c>
    </row>
    <row r="123" spans="1:28" ht="20.25" customHeight="1">
      <c r="A123" s="47" t="s">
        <v>172</v>
      </c>
      <c r="C123" s="6">
        <v>0</v>
      </c>
      <c r="D123" s="6"/>
      <c r="E123" s="6">
        <v>0</v>
      </c>
      <c r="F123" s="6"/>
      <c r="G123" s="6">
        <v>0</v>
      </c>
      <c r="H123" s="6"/>
      <c r="I123" s="6">
        <v>0</v>
      </c>
      <c r="J123" s="6"/>
      <c r="K123" s="6">
        <v>0</v>
      </c>
      <c r="L123" s="6"/>
      <c r="M123" s="6">
        <v>0</v>
      </c>
      <c r="N123" s="6"/>
      <c r="O123" s="6">
        <v>0</v>
      </c>
      <c r="P123" s="6"/>
      <c r="Q123" s="6">
        <v>0</v>
      </c>
      <c r="R123" s="6"/>
      <c r="S123" s="6">
        <v>0</v>
      </c>
      <c r="T123" s="6"/>
      <c r="U123" s="6">
        <v>0</v>
      </c>
      <c r="V123" s="6"/>
      <c r="W123" s="6">
        <v>0</v>
      </c>
      <c r="X123" s="6"/>
      <c r="Y123" s="6">
        <v>0</v>
      </c>
      <c r="Z123" s="6"/>
      <c r="AA123" s="6">
        <f t="shared" si="47"/>
        <v>0</v>
      </c>
      <c r="AB123" s="43">
        <f t="shared" si="48"/>
        <v>0</v>
      </c>
    </row>
    <row r="124" spans="1:28" ht="20.25" customHeight="1">
      <c r="A124" s="47" t="s">
        <v>173</v>
      </c>
      <c r="C124" s="6">
        <v>0</v>
      </c>
      <c r="D124" s="6"/>
      <c r="E124" s="6">
        <v>0</v>
      </c>
      <c r="F124" s="6"/>
      <c r="G124" s="6">
        <v>0</v>
      </c>
      <c r="H124" s="6"/>
      <c r="I124" s="6">
        <v>0</v>
      </c>
      <c r="J124" s="6"/>
      <c r="K124" s="6">
        <v>0</v>
      </c>
      <c r="L124" s="6"/>
      <c r="M124" s="6">
        <v>0</v>
      </c>
      <c r="N124" s="6"/>
      <c r="O124" s="6">
        <v>0</v>
      </c>
      <c r="P124" s="6"/>
      <c r="Q124" s="6">
        <v>0</v>
      </c>
      <c r="R124" s="6"/>
      <c r="S124" s="6">
        <v>0</v>
      </c>
      <c r="T124" s="6"/>
      <c r="U124" s="6">
        <v>0</v>
      </c>
      <c r="V124" s="6"/>
      <c r="W124" s="6">
        <v>0</v>
      </c>
      <c r="X124" s="6"/>
      <c r="Y124" s="6">
        <v>0</v>
      </c>
      <c r="Z124" s="6"/>
      <c r="AA124" s="6">
        <f t="shared" si="47"/>
        <v>0</v>
      </c>
      <c r="AB124" s="43">
        <f t="shared" si="48"/>
        <v>0</v>
      </c>
    </row>
    <row r="125" spans="1:28" ht="20.25" customHeight="1">
      <c r="A125" s="47" t="s">
        <v>174</v>
      </c>
      <c r="C125" s="6">
        <v>0</v>
      </c>
      <c r="D125" s="6"/>
      <c r="E125" s="6">
        <v>0</v>
      </c>
      <c r="F125" s="6"/>
      <c r="G125" s="6">
        <v>0</v>
      </c>
      <c r="H125" s="6"/>
      <c r="I125" s="6">
        <v>0</v>
      </c>
      <c r="J125" s="6"/>
      <c r="K125" s="6">
        <v>0</v>
      </c>
      <c r="L125" s="6"/>
      <c r="M125" s="6">
        <v>0</v>
      </c>
      <c r="N125" s="6"/>
      <c r="O125" s="6">
        <v>0</v>
      </c>
      <c r="P125" s="6"/>
      <c r="Q125" s="6">
        <v>0</v>
      </c>
      <c r="R125" s="6"/>
      <c r="S125" s="6">
        <v>0</v>
      </c>
      <c r="T125" s="6"/>
      <c r="U125" s="6">
        <v>0</v>
      </c>
      <c r="V125" s="6"/>
      <c r="W125" s="6">
        <v>0</v>
      </c>
      <c r="X125" s="6"/>
      <c r="Y125" s="6">
        <v>0</v>
      </c>
      <c r="Z125" s="6"/>
      <c r="AA125" s="6">
        <f t="shared" si="47"/>
        <v>0</v>
      </c>
      <c r="AB125" s="43">
        <f t="shared" si="48"/>
        <v>0</v>
      </c>
    </row>
    <row r="126" spans="1:28" ht="20.25" customHeight="1">
      <c r="A126" s="47" t="s">
        <v>175</v>
      </c>
      <c r="C126" s="6">
        <v>0</v>
      </c>
      <c r="D126" s="6"/>
      <c r="E126" s="6">
        <v>0</v>
      </c>
      <c r="F126" s="6"/>
      <c r="G126" s="6">
        <v>0</v>
      </c>
      <c r="H126" s="6"/>
      <c r="I126" s="6">
        <v>0</v>
      </c>
      <c r="J126" s="6"/>
      <c r="K126" s="6">
        <v>0</v>
      </c>
      <c r="L126" s="6"/>
      <c r="M126" s="6">
        <v>0</v>
      </c>
      <c r="N126" s="6"/>
      <c r="O126" s="6">
        <v>0</v>
      </c>
      <c r="P126" s="6"/>
      <c r="Q126" s="6">
        <v>0</v>
      </c>
      <c r="R126" s="6"/>
      <c r="S126" s="6">
        <v>0</v>
      </c>
      <c r="T126" s="6"/>
      <c r="U126" s="6">
        <v>0</v>
      </c>
      <c r="V126" s="6"/>
      <c r="W126" s="6">
        <v>0</v>
      </c>
      <c r="X126" s="6"/>
      <c r="Y126" s="6">
        <v>0</v>
      </c>
      <c r="Z126" s="6"/>
      <c r="AA126" s="6">
        <f t="shared" si="47"/>
        <v>0</v>
      </c>
      <c r="AB126" s="43">
        <f t="shared" si="48"/>
        <v>0</v>
      </c>
    </row>
    <row r="127" spans="1:28" ht="20.25" customHeight="1">
      <c r="A127" s="47" t="s">
        <v>176</v>
      </c>
      <c r="C127" s="6">
        <v>0</v>
      </c>
      <c r="D127" s="6"/>
      <c r="E127" s="6">
        <v>0</v>
      </c>
      <c r="F127" s="6"/>
      <c r="G127" s="6">
        <v>0</v>
      </c>
      <c r="H127" s="6"/>
      <c r="I127" s="6">
        <v>0</v>
      </c>
      <c r="J127" s="6"/>
      <c r="K127" s="6">
        <v>0</v>
      </c>
      <c r="L127" s="6"/>
      <c r="M127" s="6">
        <v>0</v>
      </c>
      <c r="N127" s="6"/>
      <c r="O127" s="6">
        <v>0</v>
      </c>
      <c r="P127" s="6"/>
      <c r="Q127" s="6">
        <v>0</v>
      </c>
      <c r="R127" s="6"/>
      <c r="S127" s="6">
        <v>0</v>
      </c>
      <c r="T127" s="6"/>
      <c r="U127" s="6">
        <v>0</v>
      </c>
      <c r="V127" s="6"/>
      <c r="W127" s="6">
        <v>0</v>
      </c>
      <c r="X127" s="6"/>
      <c r="Y127" s="6">
        <v>0</v>
      </c>
      <c r="Z127" s="6"/>
      <c r="AA127" s="6">
        <f t="shared" si="47"/>
        <v>0</v>
      </c>
      <c r="AB127" s="43">
        <f t="shared" si="48"/>
        <v>0</v>
      </c>
    </row>
    <row r="128" spans="1:28" ht="20.25" customHeight="1">
      <c r="A128" s="64" t="s">
        <v>177</v>
      </c>
      <c r="B128" s="7"/>
      <c r="C128" s="8">
        <f>SUM(C104:C127)</f>
        <v>0</v>
      </c>
      <c r="D128" s="8">
        <f t="shared" ref="D128:AB128" si="49">SUM(D104:D127)</f>
        <v>0</v>
      </c>
      <c r="E128" s="8">
        <f t="shared" si="49"/>
        <v>0</v>
      </c>
      <c r="F128" s="8">
        <f t="shared" si="49"/>
        <v>0</v>
      </c>
      <c r="G128" s="8">
        <f t="shared" si="49"/>
        <v>0</v>
      </c>
      <c r="H128" s="8">
        <f t="shared" si="49"/>
        <v>0</v>
      </c>
      <c r="I128" s="8">
        <f t="shared" si="49"/>
        <v>0</v>
      </c>
      <c r="J128" s="8">
        <f t="shared" si="49"/>
        <v>0</v>
      </c>
      <c r="K128" s="8">
        <f t="shared" si="49"/>
        <v>0</v>
      </c>
      <c r="L128" s="8">
        <f t="shared" si="49"/>
        <v>0</v>
      </c>
      <c r="M128" s="8">
        <f t="shared" si="49"/>
        <v>0</v>
      </c>
      <c r="N128" s="8">
        <f t="shared" si="49"/>
        <v>0</v>
      </c>
      <c r="O128" s="8">
        <f t="shared" si="49"/>
        <v>0</v>
      </c>
      <c r="P128" s="8">
        <f t="shared" si="49"/>
        <v>0</v>
      </c>
      <c r="Q128" s="8">
        <f t="shared" si="49"/>
        <v>0</v>
      </c>
      <c r="R128" s="8">
        <f t="shared" si="49"/>
        <v>0</v>
      </c>
      <c r="S128" s="8">
        <f t="shared" si="49"/>
        <v>0</v>
      </c>
      <c r="T128" s="8">
        <f t="shared" si="49"/>
        <v>0</v>
      </c>
      <c r="U128" s="8">
        <f t="shared" si="49"/>
        <v>0</v>
      </c>
      <c r="V128" s="8">
        <f t="shared" si="49"/>
        <v>0</v>
      </c>
      <c r="W128" s="8">
        <f t="shared" si="49"/>
        <v>0</v>
      </c>
      <c r="X128" s="8">
        <f t="shared" si="49"/>
        <v>0</v>
      </c>
      <c r="Y128" s="8">
        <f t="shared" si="49"/>
        <v>0</v>
      </c>
      <c r="Z128" s="8">
        <f t="shared" si="49"/>
        <v>0</v>
      </c>
      <c r="AA128" s="8">
        <f t="shared" si="49"/>
        <v>0</v>
      </c>
      <c r="AB128" s="74">
        <f t="shared" si="49"/>
        <v>0</v>
      </c>
    </row>
    <row r="129" spans="1:28" ht="25.5" customHeight="1">
      <c r="A129" s="63" t="s">
        <v>178</v>
      </c>
      <c r="B129" s="46"/>
      <c r="C129" s="29" t="s">
        <v>3</v>
      </c>
      <c r="D129" s="78">
        <f>D103</f>
        <v>43101</v>
      </c>
      <c r="E129" s="29" t="s">
        <v>4</v>
      </c>
      <c r="F129" s="78">
        <f>F103</f>
        <v>43132</v>
      </c>
      <c r="G129" s="29" t="s">
        <v>5</v>
      </c>
      <c r="H129" s="78">
        <f>H103</f>
        <v>43160</v>
      </c>
      <c r="I129" s="29" t="s">
        <v>6</v>
      </c>
      <c r="J129" s="78">
        <f>J103</f>
        <v>43191</v>
      </c>
      <c r="K129" s="29" t="s">
        <v>7</v>
      </c>
      <c r="L129" s="78">
        <f>L103</f>
        <v>43221</v>
      </c>
      <c r="M129" s="29" t="s">
        <v>8</v>
      </c>
      <c r="N129" s="78">
        <f>N103</f>
        <v>43252</v>
      </c>
      <c r="O129" s="29" t="s">
        <v>9</v>
      </c>
      <c r="P129" s="78">
        <f>P103</f>
        <v>43282</v>
      </c>
      <c r="Q129" s="29" t="s">
        <v>10</v>
      </c>
      <c r="R129" s="78">
        <f>R103</f>
        <v>43313</v>
      </c>
      <c r="S129" s="10" t="s">
        <v>11</v>
      </c>
      <c r="T129" s="78">
        <f>T103</f>
        <v>43344</v>
      </c>
      <c r="U129" s="10" t="s">
        <v>12</v>
      </c>
      <c r="V129" s="78">
        <f>V103</f>
        <v>43374</v>
      </c>
      <c r="W129" s="10" t="s">
        <v>13</v>
      </c>
      <c r="X129" s="78">
        <f>X103</f>
        <v>43405</v>
      </c>
      <c r="Y129" s="10" t="s">
        <v>14</v>
      </c>
      <c r="Z129" s="78">
        <f>Z103</f>
        <v>43435</v>
      </c>
      <c r="AA129" s="10" t="s">
        <v>37</v>
      </c>
      <c r="AB129" s="42" t="str">
        <f>AB103</f>
        <v>TOTAL 2018</v>
      </c>
    </row>
    <row r="130" spans="1:28" ht="21" customHeight="1">
      <c r="C130" s="6">
        <v>0</v>
      </c>
      <c r="D130" s="6"/>
      <c r="E130" s="6">
        <v>0</v>
      </c>
      <c r="F130" s="6"/>
      <c r="G130" s="6">
        <v>0</v>
      </c>
      <c r="H130" s="6"/>
      <c r="I130" s="6">
        <v>0</v>
      </c>
      <c r="J130" s="6"/>
      <c r="K130" s="6">
        <v>0</v>
      </c>
      <c r="L130" s="6"/>
      <c r="M130" s="6">
        <v>0</v>
      </c>
      <c r="N130" s="6"/>
      <c r="O130" s="6">
        <v>0</v>
      </c>
      <c r="P130" s="6"/>
      <c r="Q130" s="6">
        <v>0</v>
      </c>
      <c r="R130" s="6"/>
      <c r="S130" s="6">
        <v>0</v>
      </c>
      <c r="T130" s="6"/>
      <c r="U130" s="6">
        <v>0</v>
      </c>
      <c r="V130" s="6"/>
      <c r="W130" s="6">
        <v>0</v>
      </c>
      <c r="X130" s="6"/>
      <c r="Y130" s="6">
        <v>0</v>
      </c>
      <c r="Z130" s="6"/>
      <c r="AA130" s="6">
        <f t="shared" ref="AA130:AB134" si="50">SUM(C130+E130+G130+I130+K130+M130+O130+Q130+S130+U130+W130+Y130)</f>
        <v>0</v>
      </c>
      <c r="AB130" s="43">
        <f t="shared" si="50"/>
        <v>0</v>
      </c>
    </row>
    <row r="131" spans="1:28" ht="21" customHeight="1">
      <c r="C131" s="6">
        <v>0</v>
      </c>
      <c r="D131" s="6"/>
      <c r="E131" s="6">
        <v>0</v>
      </c>
      <c r="F131" s="6"/>
      <c r="G131" s="6">
        <v>0</v>
      </c>
      <c r="H131" s="6"/>
      <c r="I131" s="6">
        <v>0</v>
      </c>
      <c r="J131" s="6"/>
      <c r="K131" s="6">
        <v>0</v>
      </c>
      <c r="L131" s="6"/>
      <c r="M131" s="6">
        <v>0</v>
      </c>
      <c r="N131" s="6"/>
      <c r="O131" s="6">
        <v>0</v>
      </c>
      <c r="P131" s="6"/>
      <c r="Q131" s="6">
        <v>0</v>
      </c>
      <c r="R131" s="6"/>
      <c r="S131" s="6">
        <v>0</v>
      </c>
      <c r="T131" s="6"/>
      <c r="U131" s="6">
        <v>0</v>
      </c>
      <c r="V131" s="6"/>
      <c r="W131" s="6">
        <v>0</v>
      </c>
      <c r="X131" s="6"/>
      <c r="Y131" s="6">
        <v>0</v>
      </c>
      <c r="Z131" s="6"/>
      <c r="AA131" s="6">
        <f t="shared" si="50"/>
        <v>0</v>
      </c>
      <c r="AB131" s="43">
        <f t="shared" si="50"/>
        <v>0</v>
      </c>
    </row>
    <row r="132" spans="1:28" ht="21" customHeight="1">
      <c r="C132" s="6">
        <v>0</v>
      </c>
      <c r="D132" s="6"/>
      <c r="E132" s="6">
        <v>0</v>
      </c>
      <c r="F132" s="6"/>
      <c r="G132" s="6">
        <v>0</v>
      </c>
      <c r="H132" s="6"/>
      <c r="I132" s="6">
        <v>0</v>
      </c>
      <c r="J132" s="6"/>
      <c r="K132" s="6">
        <v>0</v>
      </c>
      <c r="L132" s="6"/>
      <c r="M132" s="6">
        <v>0</v>
      </c>
      <c r="N132" s="6"/>
      <c r="O132" s="6">
        <v>0</v>
      </c>
      <c r="P132" s="6"/>
      <c r="Q132" s="6">
        <v>0</v>
      </c>
      <c r="R132" s="6"/>
      <c r="S132" s="6">
        <v>0</v>
      </c>
      <c r="T132" s="6"/>
      <c r="U132" s="6">
        <v>0</v>
      </c>
      <c r="V132" s="6"/>
      <c r="W132" s="6">
        <v>0</v>
      </c>
      <c r="X132" s="6"/>
      <c r="Y132" s="6">
        <v>0</v>
      </c>
      <c r="Z132" s="6"/>
      <c r="AA132" s="6">
        <f t="shared" si="50"/>
        <v>0</v>
      </c>
      <c r="AB132" s="43">
        <f t="shared" si="50"/>
        <v>0</v>
      </c>
    </row>
    <row r="133" spans="1:28" ht="21" customHeight="1">
      <c r="C133" s="6">
        <v>0</v>
      </c>
      <c r="D133" s="6"/>
      <c r="E133" s="6">
        <v>0</v>
      </c>
      <c r="F133" s="6"/>
      <c r="G133" s="6">
        <v>0</v>
      </c>
      <c r="H133" s="6"/>
      <c r="I133" s="6">
        <v>0</v>
      </c>
      <c r="J133" s="6"/>
      <c r="K133" s="6">
        <v>0</v>
      </c>
      <c r="L133" s="6"/>
      <c r="M133" s="6">
        <v>0</v>
      </c>
      <c r="N133" s="6"/>
      <c r="O133" s="6">
        <v>0</v>
      </c>
      <c r="P133" s="6"/>
      <c r="Q133" s="6">
        <v>0</v>
      </c>
      <c r="R133" s="6"/>
      <c r="S133" s="6">
        <v>0</v>
      </c>
      <c r="T133" s="6"/>
      <c r="U133" s="6">
        <v>0</v>
      </c>
      <c r="V133" s="6"/>
      <c r="W133" s="6">
        <v>0</v>
      </c>
      <c r="X133" s="6"/>
      <c r="Y133" s="6">
        <v>0</v>
      </c>
      <c r="Z133" s="6"/>
      <c r="AA133" s="6">
        <f t="shared" si="50"/>
        <v>0</v>
      </c>
      <c r="AB133" s="43">
        <f t="shared" si="50"/>
        <v>0</v>
      </c>
    </row>
    <row r="134" spans="1:28" ht="21" customHeight="1">
      <c r="C134" s="6">
        <v>0</v>
      </c>
      <c r="D134" s="6"/>
      <c r="E134" s="6">
        <v>0</v>
      </c>
      <c r="F134" s="6"/>
      <c r="G134" s="6">
        <v>0</v>
      </c>
      <c r="H134" s="6"/>
      <c r="I134" s="6">
        <v>0</v>
      </c>
      <c r="J134" s="6"/>
      <c r="K134" s="6">
        <v>0</v>
      </c>
      <c r="L134" s="6"/>
      <c r="M134" s="6">
        <v>0</v>
      </c>
      <c r="N134" s="6"/>
      <c r="O134" s="6">
        <v>0</v>
      </c>
      <c r="P134" s="6"/>
      <c r="Q134" s="6">
        <v>0</v>
      </c>
      <c r="R134" s="6"/>
      <c r="S134" s="6">
        <v>0</v>
      </c>
      <c r="T134" s="6"/>
      <c r="U134" s="6">
        <v>0</v>
      </c>
      <c r="V134" s="6"/>
      <c r="W134" s="6">
        <v>0</v>
      </c>
      <c r="X134" s="6"/>
      <c r="Y134" s="6">
        <v>0</v>
      </c>
      <c r="Z134" s="6"/>
      <c r="AA134" s="6">
        <f t="shared" si="50"/>
        <v>0</v>
      </c>
      <c r="AB134" s="43">
        <f t="shared" si="50"/>
        <v>0</v>
      </c>
    </row>
    <row r="135" spans="1:28" ht="20.25" customHeight="1">
      <c r="A135" s="64" t="s">
        <v>179</v>
      </c>
      <c r="B135" s="7"/>
      <c r="C135" s="8">
        <f>SUM(C130:C134)</f>
        <v>0</v>
      </c>
      <c r="D135" s="8">
        <f t="shared" ref="D135:AB135" si="51">SUM(D130:D134)</f>
        <v>0</v>
      </c>
      <c r="E135" s="8">
        <f t="shared" si="51"/>
        <v>0</v>
      </c>
      <c r="F135" s="8">
        <f t="shared" si="51"/>
        <v>0</v>
      </c>
      <c r="G135" s="8">
        <f t="shared" si="51"/>
        <v>0</v>
      </c>
      <c r="H135" s="8">
        <f t="shared" si="51"/>
        <v>0</v>
      </c>
      <c r="I135" s="8">
        <f t="shared" si="51"/>
        <v>0</v>
      </c>
      <c r="J135" s="8">
        <f t="shared" si="51"/>
        <v>0</v>
      </c>
      <c r="K135" s="8">
        <f t="shared" si="51"/>
        <v>0</v>
      </c>
      <c r="L135" s="8">
        <f t="shared" si="51"/>
        <v>0</v>
      </c>
      <c r="M135" s="8">
        <f t="shared" si="51"/>
        <v>0</v>
      </c>
      <c r="N135" s="8">
        <f t="shared" si="51"/>
        <v>0</v>
      </c>
      <c r="O135" s="8">
        <f t="shared" si="51"/>
        <v>0</v>
      </c>
      <c r="P135" s="8">
        <f t="shared" si="51"/>
        <v>0</v>
      </c>
      <c r="Q135" s="8">
        <f t="shared" si="51"/>
        <v>0</v>
      </c>
      <c r="R135" s="8">
        <f t="shared" si="51"/>
        <v>0</v>
      </c>
      <c r="S135" s="8">
        <f t="shared" si="51"/>
        <v>0</v>
      </c>
      <c r="T135" s="8">
        <f t="shared" si="51"/>
        <v>0</v>
      </c>
      <c r="U135" s="8">
        <f t="shared" si="51"/>
        <v>0</v>
      </c>
      <c r="V135" s="8">
        <f t="shared" si="51"/>
        <v>0</v>
      </c>
      <c r="W135" s="8">
        <f t="shared" si="51"/>
        <v>0</v>
      </c>
      <c r="X135" s="8">
        <f t="shared" si="51"/>
        <v>0</v>
      </c>
      <c r="Y135" s="8">
        <f t="shared" si="51"/>
        <v>0</v>
      </c>
      <c r="Z135" s="8">
        <f t="shared" si="51"/>
        <v>0</v>
      </c>
      <c r="AA135" s="8">
        <f t="shared" si="51"/>
        <v>0</v>
      </c>
      <c r="AB135" s="61">
        <f t="shared" si="51"/>
        <v>0</v>
      </c>
    </row>
    <row r="136" spans="1:28" ht="27.75" customHeight="1">
      <c r="A136" s="63" t="s">
        <v>180</v>
      </c>
      <c r="B136" s="46"/>
      <c r="C136" s="29" t="s">
        <v>3</v>
      </c>
      <c r="D136" s="78">
        <f>D129</f>
        <v>43101</v>
      </c>
      <c r="E136" s="29" t="s">
        <v>4</v>
      </c>
      <c r="F136" s="78">
        <f>F129</f>
        <v>43132</v>
      </c>
      <c r="G136" s="29" t="s">
        <v>5</v>
      </c>
      <c r="H136" s="78">
        <f>H129</f>
        <v>43160</v>
      </c>
      <c r="I136" s="29" t="s">
        <v>6</v>
      </c>
      <c r="J136" s="78">
        <f>J129</f>
        <v>43191</v>
      </c>
      <c r="K136" s="29" t="s">
        <v>7</v>
      </c>
      <c r="L136" s="78">
        <f>L129</f>
        <v>43221</v>
      </c>
      <c r="M136" s="29" t="s">
        <v>8</v>
      </c>
      <c r="N136" s="78">
        <f>N129</f>
        <v>43252</v>
      </c>
      <c r="O136" s="29" t="s">
        <v>9</v>
      </c>
      <c r="P136" s="78">
        <f>P129</f>
        <v>43282</v>
      </c>
      <c r="Q136" s="29" t="s">
        <v>10</v>
      </c>
      <c r="R136" s="78">
        <f>R129</f>
        <v>43313</v>
      </c>
      <c r="S136" s="10" t="s">
        <v>11</v>
      </c>
      <c r="T136" s="78">
        <f>T129</f>
        <v>43344</v>
      </c>
      <c r="U136" s="10" t="s">
        <v>12</v>
      </c>
      <c r="V136" s="78">
        <f>V129</f>
        <v>43374</v>
      </c>
      <c r="W136" s="10" t="s">
        <v>13</v>
      </c>
      <c r="X136" s="78">
        <f>X129</f>
        <v>43405</v>
      </c>
      <c r="Y136" s="10" t="s">
        <v>14</v>
      </c>
      <c r="Z136" s="78">
        <f>Z129</f>
        <v>43435</v>
      </c>
      <c r="AA136" s="10" t="s">
        <v>37</v>
      </c>
      <c r="AB136" s="42" t="str">
        <f>AB129</f>
        <v>TOTAL 2018</v>
      </c>
    </row>
    <row r="137" spans="1:28" ht="27.75" customHeight="1">
      <c r="A137" s="58" t="s">
        <v>181</v>
      </c>
      <c r="B137" s="51"/>
      <c r="C137" s="34"/>
      <c r="D137" s="35"/>
      <c r="E137" s="39">
        <v>81049.289999999994</v>
      </c>
      <c r="F137" s="35"/>
      <c r="G137" s="34"/>
      <c r="H137" s="35"/>
      <c r="I137" s="34"/>
      <c r="J137" s="35"/>
      <c r="K137" s="34"/>
      <c r="L137" s="35"/>
      <c r="M137" s="34"/>
      <c r="N137" s="35"/>
      <c r="O137" s="34"/>
      <c r="P137" s="35"/>
      <c r="Q137" s="34"/>
      <c r="R137" s="35"/>
      <c r="S137" s="35"/>
      <c r="T137" s="35"/>
      <c r="U137" s="35"/>
      <c r="V137" s="35"/>
      <c r="W137" s="35"/>
      <c r="X137" s="35"/>
      <c r="Y137" s="35"/>
      <c r="Z137" s="35"/>
      <c r="AA137" s="6">
        <f t="shared" ref="AA137:AB141" si="52">SUM(C137+E137+G137+I137+K137+M137+O137+Q137+S137+U137+W137+Y137)</f>
        <v>81049.289999999994</v>
      </c>
      <c r="AB137" s="43">
        <f t="shared" si="52"/>
        <v>0</v>
      </c>
    </row>
    <row r="138" spans="1:28" ht="27.75" customHeight="1">
      <c r="A138" s="58" t="s">
        <v>182</v>
      </c>
      <c r="B138" s="51"/>
      <c r="C138" s="34"/>
      <c r="D138" s="39"/>
      <c r="E138" s="34"/>
      <c r="F138" s="39"/>
      <c r="G138" s="39">
        <v>271379.46999999997</v>
      </c>
      <c r="H138" s="39"/>
      <c r="I138" s="39">
        <v>271379.46999999997</v>
      </c>
      <c r="J138" s="39"/>
      <c r="K138" s="39">
        <v>271379.46999999997</v>
      </c>
      <c r="L138" s="39"/>
      <c r="M138" s="39">
        <v>271379.46999999997</v>
      </c>
      <c r="N138" s="39"/>
      <c r="O138" s="39">
        <v>271379.46999999997</v>
      </c>
      <c r="P138" s="39"/>
      <c r="Q138" s="39">
        <v>271379.46999999997</v>
      </c>
      <c r="R138" s="39"/>
      <c r="S138" s="39">
        <v>271379.46999999997</v>
      </c>
      <c r="T138" s="39"/>
      <c r="U138" s="39">
        <v>271379.46999999997</v>
      </c>
      <c r="V138" s="39"/>
      <c r="W138" s="39">
        <v>271379.46999999997</v>
      </c>
      <c r="X138" s="39"/>
      <c r="Y138" s="39">
        <v>271379.46999999997</v>
      </c>
      <c r="Z138" s="39"/>
      <c r="AA138" s="6">
        <f t="shared" si="52"/>
        <v>2713794.6999999993</v>
      </c>
      <c r="AB138" s="43">
        <f t="shared" si="52"/>
        <v>0</v>
      </c>
    </row>
    <row r="139" spans="1:28" ht="27.75" customHeight="1">
      <c r="A139" s="58"/>
      <c r="B139" s="51"/>
      <c r="C139" s="34"/>
      <c r="D139" s="35"/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5"/>
      <c r="T139" s="35"/>
      <c r="U139" s="35"/>
      <c r="V139" s="35"/>
      <c r="W139" s="35"/>
      <c r="X139" s="35"/>
      <c r="Y139" s="35"/>
      <c r="Z139" s="35"/>
      <c r="AA139" s="6">
        <f t="shared" si="52"/>
        <v>0</v>
      </c>
      <c r="AB139" s="43">
        <f t="shared" si="52"/>
        <v>0</v>
      </c>
    </row>
    <row r="140" spans="1:28" ht="27.75" customHeight="1">
      <c r="A140" s="58"/>
      <c r="B140" s="51"/>
      <c r="C140" s="34"/>
      <c r="D140" s="35"/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5"/>
      <c r="T140" s="35"/>
      <c r="U140" s="35"/>
      <c r="V140" s="35"/>
      <c r="W140" s="35"/>
      <c r="X140" s="35"/>
      <c r="Y140" s="35"/>
      <c r="Z140" s="35"/>
      <c r="AA140" s="6">
        <f t="shared" si="52"/>
        <v>0</v>
      </c>
      <c r="AB140" s="43">
        <f t="shared" si="52"/>
        <v>0</v>
      </c>
    </row>
    <row r="141" spans="1:28" ht="24.75" customHeight="1">
      <c r="A141" s="67"/>
      <c r="B141" s="5"/>
      <c r="C141" s="6">
        <v>0</v>
      </c>
      <c r="D141" s="6"/>
      <c r="E141" s="6">
        <v>0</v>
      </c>
      <c r="F141" s="6"/>
      <c r="G141" s="6">
        <v>0</v>
      </c>
      <c r="H141" s="6"/>
      <c r="I141" s="6">
        <v>0</v>
      </c>
      <c r="J141" s="6"/>
      <c r="K141" s="6">
        <v>0</v>
      </c>
      <c r="L141" s="6"/>
      <c r="M141" s="6">
        <v>0</v>
      </c>
      <c r="N141" s="6"/>
      <c r="O141" s="6">
        <v>0</v>
      </c>
      <c r="P141" s="6"/>
      <c r="Q141" s="6">
        <v>0</v>
      </c>
      <c r="R141" s="6"/>
      <c r="S141" s="6">
        <v>0</v>
      </c>
      <c r="T141" s="6"/>
      <c r="U141" s="6">
        <v>0</v>
      </c>
      <c r="V141" s="6"/>
      <c r="W141" s="6">
        <v>0</v>
      </c>
      <c r="X141" s="6"/>
      <c r="Y141" s="6">
        <v>0</v>
      </c>
      <c r="Z141" s="6"/>
      <c r="AA141" s="6">
        <f t="shared" si="52"/>
        <v>0</v>
      </c>
      <c r="AB141" s="43">
        <f t="shared" si="52"/>
        <v>0</v>
      </c>
    </row>
    <row r="142" spans="1:28" ht="20.25" customHeight="1">
      <c r="A142" s="64" t="s">
        <v>183</v>
      </c>
      <c r="B142" s="7"/>
      <c r="C142" s="8">
        <f>SUM(C137:C141)</f>
        <v>0</v>
      </c>
      <c r="D142" s="8">
        <f t="shared" ref="D142:AB142" si="53">SUM(D137:D141)</f>
        <v>0</v>
      </c>
      <c r="E142" s="8">
        <f t="shared" si="53"/>
        <v>81049.289999999994</v>
      </c>
      <c r="F142" s="8">
        <f t="shared" si="53"/>
        <v>0</v>
      </c>
      <c r="G142" s="8">
        <f t="shared" si="53"/>
        <v>271379.46999999997</v>
      </c>
      <c r="H142" s="8">
        <f t="shared" si="53"/>
        <v>0</v>
      </c>
      <c r="I142" s="8">
        <f t="shared" si="53"/>
        <v>271379.46999999997</v>
      </c>
      <c r="J142" s="8">
        <f t="shared" si="53"/>
        <v>0</v>
      </c>
      <c r="K142" s="8">
        <f t="shared" si="53"/>
        <v>271379.46999999997</v>
      </c>
      <c r="L142" s="8">
        <f t="shared" si="53"/>
        <v>0</v>
      </c>
      <c r="M142" s="8">
        <f t="shared" si="53"/>
        <v>271379.46999999997</v>
      </c>
      <c r="N142" s="8">
        <f t="shared" si="53"/>
        <v>0</v>
      </c>
      <c r="O142" s="8">
        <f t="shared" si="53"/>
        <v>271379.46999999997</v>
      </c>
      <c r="P142" s="8">
        <f t="shared" si="53"/>
        <v>0</v>
      </c>
      <c r="Q142" s="8">
        <f t="shared" si="53"/>
        <v>271379.46999999997</v>
      </c>
      <c r="R142" s="8">
        <f t="shared" si="53"/>
        <v>0</v>
      </c>
      <c r="S142" s="8">
        <f t="shared" si="53"/>
        <v>271379.46999999997</v>
      </c>
      <c r="T142" s="8">
        <f t="shared" si="53"/>
        <v>0</v>
      </c>
      <c r="U142" s="8">
        <f t="shared" si="53"/>
        <v>271379.46999999997</v>
      </c>
      <c r="V142" s="8">
        <f t="shared" si="53"/>
        <v>0</v>
      </c>
      <c r="W142" s="8">
        <f t="shared" si="53"/>
        <v>271379.46999999997</v>
      </c>
      <c r="X142" s="8">
        <f t="shared" si="53"/>
        <v>0</v>
      </c>
      <c r="Y142" s="8">
        <f t="shared" si="53"/>
        <v>271379.46999999997</v>
      </c>
      <c r="Z142" s="8">
        <f t="shared" si="53"/>
        <v>0</v>
      </c>
      <c r="AA142" s="8">
        <f t="shared" si="53"/>
        <v>2794843.9899999993</v>
      </c>
      <c r="AB142" s="61">
        <f t="shared" si="53"/>
        <v>0</v>
      </c>
    </row>
    <row r="143" spans="1:28" ht="27" customHeight="1">
      <c r="A143" s="66" t="s">
        <v>184</v>
      </c>
      <c r="B143" s="50"/>
      <c r="C143" s="29" t="s">
        <v>3</v>
      </c>
      <c r="D143" s="78">
        <f>D136</f>
        <v>43101</v>
      </c>
      <c r="E143" s="29" t="s">
        <v>4</v>
      </c>
      <c r="F143" s="78">
        <f>F136</f>
        <v>43132</v>
      </c>
      <c r="G143" s="29" t="s">
        <v>5</v>
      </c>
      <c r="H143" s="78">
        <f>H136</f>
        <v>43160</v>
      </c>
      <c r="I143" s="29" t="s">
        <v>6</v>
      </c>
      <c r="J143" s="78">
        <f>J136</f>
        <v>43191</v>
      </c>
      <c r="K143" s="29" t="s">
        <v>7</v>
      </c>
      <c r="L143" s="78">
        <f>L136</f>
        <v>43221</v>
      </c>
      <c r="M143" s="29" t="s">
        <v>8</v>
      </c>
      <c r="N143" s="78">
        <f>N136</f>
        <v>43252</v>
      </c>
      <c r="O143" s="29" t="s">
        <v>9</v>
      </c>
      <c r="P143" s="78">
        <f>P136</f>
        <v>43282</v>
      </c>
      <c r="Q143" s="29" t="s">
        <v>10</v>
      </c>
      <c r="R143" s="78">
        <f>R136</f>
        <v>43313</v>
      </c>
      <c r="S143" s="10" t="s">
        <v>11</v>
      </c>
      <c r="T143" s="78">
        <f>T136</f>
        <v>43344</v>
      </c>
      <c r="U143" s="10" t="s">
        <v>12</v>
      </c>
      <c r="V143" s="78">
        <f>V136</f>
        <v>43374</v>
      </c>
      <c r="W143" s="10" t="s">
        <v>13</v>
      </c>
      <c r="X143" s="78">
        <f>X136</f>
        <v>43405</v>
      </c>
      <c r="Y143" s="10" t="s">
        <v>14</v>
      </c>
      <c r="Z143" s="78">
        <f>Z136</f>
        <v>43435</v>
      </c>
      <c r="AA143" s="10" t="s">
        <v>37</v>
      </c>
      <c r="AB143" s="42" t="str">
        <f>AB136</f>
        <v>TOTAL 2018</v>
      </c>
    </row>
    <row r="144" spans="1:28" ht="20.25" customHeight="1">
      <c r="A144" s="47" t="s">
        <v>185</v>
      </c>
      <c r="C144" s="6">
        <v>0</v>
      </c>
      <c r="D144" s="6"/>
      <c r="E144" s="6">
        <v>7085.14</v>
      </c>
      <c r="F144" s="6"/>
      <c r="G144" s="6">
        <v>0</v>
      </c>
      <c r="H144" s="6"/>
      <c r="I144" s="6">
        <v>0</v>
      </c>
      <c r="J144" s="6"/>
      <c r="K144" s="6">
        <v>0</v>
      </c>
      <c r="L144" s="6"/>
      <c r="M144" s="6">
        <v>0</v>
      </c>
      <c r="N144" s="6"/>
      <c r="O144" s="6">
        <v>0</v>
      </c>
      <c r="P144" s="6"/>
      <c r="Q144" s="6">
        <v>0</v>
      </c>
      <c r="R144" s="6"/>
      <c r="S144" s="6">
        <v>0</v>
      </c>
      <c r="T144" s="6"/>
      <c r="U144" s="6">
        <v>0</v>
      </c>
      <c r="V144" s="6"/>
      <c r="W144" s="6">
        <v>0</v>
      </c>
      <c r="X144" s="6"/>
      <c r="Y144" s="6">
        <v>0</v>
      </c>
      <c r="Z144" s="6"/>
      <c r="AA144" s="6">
        <f t="shared" ref="AA144:AA158" si="54">SUM(C144+E144+G144+I144+K144+M144+O144+Q144+S144+U144+W144+Y144)</f>
        <v>7085.14</v>
      </c>
      <c r="AB144" s="43">
        <f t="shared" ref="AB144:AB158" si="55">SUM(D144+F144+H144+J144+L144+N144+P144+R144+T144+V144+X144+Z144)</f>
        <v>0</v>
      </c>
    </row>
    <row r="145" spans="1:28" ht="20.25" customHeight="1">
      <c r="A145" s="47" t="s">
        <v>186</v>
      </c>
      <c r="C145" s="6" t="e">
        <f>(#REF!)*7.6%-80000</f>
        <v>#REF!</v>
      </c>
      <c r="D145" s="6"/>
      <c r="E145" s="6" t="e">
        <f>(#REF!)*7.6%-80000</f>
        <v>#REF!</v>
      </c>
      <c r="F145" s="6"/>
      <c r="G145" s="6" t="e">
        <f>(#REF!)*7.6%-80000</f>
        <v>#REF!</v>
      </c>
      <c r="H145" s="6"/>
      <c r="I145" s="6" t="e">
        <f>(#REF!)*7.6%-80000</f>
        <v>#REF!</v>
      </c>
      <c r="J145" s="6"/>
      <c r="K145" s="6" t="e">
        <f>(#REF!)*7.6%-80000</f>
        <v>#REF!</v>
      </c>
      <c r="L145" s="6"/>
      <c r="M145" s="6" t="e">
        <f>(#REF!)*7.6%-80000</f>
        <v>#REF!</v>
      </c>
      <c r="N145" s="6"/>
      <c r="O145" s="6" t="e">
        <f>(#REF!)*7.6%-80000</f>
        <v>#REF!</v>
      </c>
      <c r="P145" s="6"/>
      <c r="Q145" s="6" t="e">
        <f>(#REF!)*7.6%-80000</f>
        <v>#REF!</v>
      </c>
      <c r="R145" s="6"/>
      <c r="S145" s="6" t="e">
        <f>(#REF!)*7.6%-80000</f>
        <v>#REF!</v>
      </c>
      <c r="T145" s="6"/>
      <c r="U145" s="6" t="e">
        <f>(#REF!)*7.6%-80000</f>
        <v>#REF!</v>
      </c>
      <c r="V145" s="6"/>
      <c r="W145" s="6" t="e">
        <f>(#REF!)*7.6%-80000</f>
        <v>#REF!</v>
      </c>
      <c r="X145" s="6"/>
      <c r="Y145" s="6" t="e">
        <f>(#REF!)*7.6%-80000</f>
        <v>#REF!</v>
      </c>
      <c r="Z145" s="6"/>
      <c r="AA145" s="6" t="e">
        <f t="shared" si="54"/>
        <v>#REF!</v>
      </c>
      <c r="AB145" s="43">
        <f t="shared" si="55"/>
        <v>0</v>
      </c>
    </row>
    <row r="146" spans="1:28" ht="20.25" customHeight="1">
      <c r="A146" s="47" t="s">
        <v>187</v>
      </c>
      <c r="C146" s="6">
        <v>46054.13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>
        <f t="shared" si="54"/>
        <v>46054.13</v>
      </c>
      <c r="AB146" s="43">
        <f t="shared" si="55"/>
        <v>0</v>
      </c>
    </row>
    <row r="147" spans="1:28" ht="20.25" customHeight="1">
      <c r="A147" s="47" t="s">
        <v>188</v>
      </c>
      <c r="C147" s="6">
        <v>0</v>
      </c>
      <c r="D147" s="6"/>
      <c r="E147" s="6">
        <v>0</v>
      </c>
      <c r="F147" s="6"/>
      <c r="G147" s="6">
        <v>0</v>
      </c>
      <c r="H147" s="6"/>
      <c r="I147" s="6">
        <v>0</v>
      </c>
      <c r="J147" s="6"/>
      <c r="K147" s="6">
        <v>0</v>
      </c>
      <c r="L147" s="6"/>
      <c r="M147" s="6">
        <v>0</v>
      </c>
      <c r="N147" s="6"/>
      <c r="O147" s="6">
        <v>0</v>
      </c>
      <c r="P147" s="6"/>
      <c r="Q147" s="6">
        <v>0</v>
      </c>
      <c r="R147" s="6"/>
      <c r="S147" s="6">
        <v>0</v>
      </c>
      <c r="T147" s="6"/>
      <c r="U147" s="6">
        <v>0</v>
      </c>
      <c r="V147" s="6"/>
      <c r="W147" s="6">
        <v>0</v>
      </c>
      <c r="X147" s="6"/>
      <c r="Y147" s="6">
        <v>0</v>
      </c>
      <c r="Z147" s="6"/>
      <c r="AA147" s="6">
        <f t="shared" si="54"/>
        <v>0</v>
      </c>
      <c r="AB147" s="43">
        <f t="shared" si="55"/>
        <v>0</v>
      </c>
    </row>
    <row r="148" spans="1:28" ht="20.25" customHeight="1">
      <c r="A148" s="47" t="s">
        <v>189</v>
      </c>
      <c r="C148" s="6">
        <v>0</v>
      </c>
      <c r="D148" s="6"/>
      <c r="E148" s="6">
        <v>0</v>
      </c>
      <c r="F148" s="6"/>
      <c r="G148" s="6">
        <v>0</v>
      </c>
      <c r="H148" s="6"/>
      <c r="I148" s="6">
        <v>0</v>
      </c>
      <c r="J148" s="6"/>
      <c r="K148" s="6">
        <v>0</v>
      </c>
      <c r="L148" s="6"/>
      <c r="M148" s="6">
        <v>0</v>
      </c>
      <c r="N148" s="6"/>
      <c r="O148" s="6">
        <v>0</v>
      </c>
      <c r="P148" s="6"/>
      <c r="Q148" s="6">
        <v>0</v>
      </c>
      <c r="R148" s="6"/>
      <c r="S148" s="6">
        <v>0</v>
      </c>
      <c r="T148" s="6"/>
      <c r="U148" s="6">
        <v>0</v>
      </c>
      <c r="V148" s="6"/>
      <c r="W148" s="6">
        <v>0</v>
      </c>
      <c r="X148" s="6"/>
      <c r="Y148" s="6">
        <v>0</v>
      </c>
      <c r="Z148" s="6"/>
      <c r="AA148" s="6">
        <f t="shared" si="54"/>
        <v>0</v>
      </c>
      <c r="AB148" s="43">
        <f t="shared" si="55"/>
        <v>0</v>
      </c>
    </row>
    <row r="149" spans="1:28" ht="20.25" customHeight="1">
      <c r="A149" s="47" t="s">
        <v>190</v>
      </c>
      <c r="C149" s="6" t="e">
        <f>#REF!*1%</f>
        <v>#REF!</v>
      </c>
      <c r="D149" s="6"/>
      <c r="E149" s="6" t="e">
        <f>#REF!*1%</f>
        <v>#REF!</v>
      </c>
      <c r="F149" s="6"/>
      <c r="G149" s="6" t="e">
        <f>#REF!*1%</f>
        <v>#REF!</v>
      </c>
      <c r="H149" s="6"/>
      <c r="I149" s="6" t="e">
        <f>#REF!*1%</f>
        <v>#REF!</v>
      </c>
      <c r="J149" s="6"/>
      <c r="K149" s="6" t="e">
        <f>#REF!*1%</f>
        <v>#REF!</v>
      </c>
      <c r="L149" s="6"/>
      <c r="M149" s="6" t="e">
        <f>#REF!*1%</f>
        <v>#REF!</v>
      </c>
      <c r="N149" s="6"/>
      <c r="O149" s="6" t="e">
        <f>#REF!*1%</f>
        <v>#REF!</v>
      </c>
      <c r="P149" s="6"/>
      <c r="Q149" s="6" t="e">
        <f>#REF!*1%</f>
        <v>#REF!</v>
      </c>
      <c r="R149" s="6"/>
      <c r="S149" s="6" t="e">
        <f>#REF!*1%</f>
        <v>#REF!</v>
      </c>
      <c r="T149" s="6"/>
      <c r="U149" s="6" t="e">
        <f>#REF!*1%</f>
        <v>#REF!</v>
      </c>
      <c r="V149" s="6"/>
      <c r="W149" s="6" t="e">
        <f>#REF!*1%</f>
        <v>#REF!</v>
      </c>
      <c r="X149" s="6"/>
      <c r="Y149" s="6" t="e">
        <f>#REF!*1%</f>
        <v>#REF!</v>
      </c>
      <c r="Z149" s="6"/>
      <c r="AA149" s="6" t="e">
        <f t="shared" si="54"/>
        <v>#REF!</v>
      </c>
      <c r="AB149" s="43">
        <f t="shared" si="55"/>
        <v>0</v>
      </c>
    </row>
    <row r="150" spans="1:28" ht="20.25" customHeight="1">
      <c r="A150" s="47" t="s">
        <v>191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>
        <f t="shared" si="54"/>
        <v>0</v>
      </c>
      <c r="AB150" s="43">
        <f t="shared" si="55"/>
        <v>0</v>
      </c>
    </row>
    <row r="151" spans="1:28" ht="20.25" customHeight="1">
      <c r="A151" s="47" t="s">
        <v>192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>
        <f t="shared" si="54"/>
        <v>0</v>
      </c>
      <c r="AB151" s="43">
        <f t="shared" si="55"/>
        <v>0</v>
      </c>
    </row>
    <row r="152" spans="1:28" ht="20.25" customHeight="1">
      <c r="A152" s="47" t="s">
        <v>193</v>
      </c>
      <c r="C152" s="6">
        <v>0</v>
      </c>
      <c r="D152" s="6"/>
      <c r="E152" s="6">
        <v>0</v>
      </c>
      <c r="F152" s="6"/>
      <c r="G152" s="6">
        <v>0</v>
      </c>
      <c r="H152" s="6"/>
      <c r="I152" s="6">
        <v>0</v>
      </c>
      <c r="J152" s="6"/>
      <c r="K152" s="6">
        <v>0</v>
      </c>
      <c r="L152" s="6"/>
      <c r="M152" s="6">
        <v>0</v>
      </c>
      <c r="N152" s="6"/>
      <c r="O152" s="6">
        <v>0</v>
      </c>
      <c r="P152" s="6"/>
      <c r="Q152" s="6">
        <v>0</v>
      </c>
      <c r="R152" s="6"/>
      <c r="S152" s="6">
        <v>0</v>
      </c>
      <c r="T152" s="6"/>
      <c r="U152" s="6">
        <v>0</v>
      </c>
      <c r="V152" s="6"/>
      <c r="W152" s="6">
        <v>0</v>
      </c>
      <c r="X152" s="6"/>
      <c r="Y152" s="6">
        <v>0</v>
      </c>
      <c r="Z152" s="6"/>
      <c r="AA152" s="6">
        <f t="shared" si="54"/>
        <v>0</v>
      </c>
      <c r="AB152" s="43">
        <f t="shared" si="55"/>
        <v>0</v>
      </c>
    </row>
    <row r="153" spans="1:28" ht="20.25" customHeight="1">
      <c r="A153" s="47" t="s">
        <v>194</v>
      </c>
      <c r="C153" s="6">
        <v>0</v>
      </c>
      <c r="D153" s="6"/>
      <c r="E153" s="6">
        <v>0</v>
      </c>
      <c r="F153" s="6"/>
      <c r="G153" s="6">
        <v>0</v>
      </c>
      <c r="H153" s="6"/>
      <c r="I153" s="6">
        <v>0</v>
      </c>
      <c r="J153" s="6"/>
      <c r="K153" s="6">
        <v>0</v>
      </c>
      <c r="L153" s="6"/>
      <c r="M153" s="6">
        <v>0</v>
      </c>
      <c r="N153" s="6"/>
      <c r="O153" s="6">
        <v>0</v>
      </c>
      <c r="P153" s="6"/>
      <c r="Q153" s="6">
        <v>0</v>
      </c>
      <c r="R153" s="6"/>
      <c r="S153" s="6">
        <v>0</v>
      </c>
      <c r="T153" s="6"/>
      <c r="U153" s="6">
        <v>0</v>
      </c>
      <c r="V153" s="6"/>
      <c r="W153" s="6">
        <v>0</v>
      </c>
      <c r="X153" s="6"/>
      <c r="Y153" s="6">
        <v>0</v>
      </c>
      <c r="Z153" s="6"/>
      <c r="AA153" s="6">
        <f t="shared" si="54"/>
        <v>0</v>
      </c>
      <c r="AB153" s="43">
        <f t="shared" si="55"/>
        <v>0</v>
      </c>
    </row>
    <row r="154" spans="1:28" ht="20.25" customHeight="1">
      <c r="A154" s="47" t="s">
        <v>195</v>
      </c>
      <c r="C154" s="6" t="e">
        <f>(#REF!)*4.5%</f>
        <v>#REF!</v>
      </c>
      <c r="D154" s="6"/>
      <c r="E154" s="6" t="e">
        <f>(#REF!)*4.5%</f>
        <v>#REF!</v>
      </c>
      <c r="F154" s="6"/>
      <c r="G154" s="6" t="e">
        <f>(#REF!)*4.5%</f>
        <v>#REF!</v>
      </c>
      <c r="H154" s="6"/>
      <c r="I154" s="6" t="e">
        <f>(#REF!)*4.5%</f>
        <v>#REF!</v>
      </c>
      <c r="J154" s="6"/>
      <c r="K154" s="6" t="e">
        <f>(#REF!)*4.5%</f>
        <v>#REF!</v>
      </c>
      <c r="L154" s="6"/>
      <c r="M154" s="6" t="e">
        <f>(#REF!)*4.5%</f>
        <v>#REF!</v>
      </c>
      <c r="N154" s="6"/>
      <c r="O154" s="6" t="e">
        <f>(#REF!)*4.5%</f>
        <v>#REF!</v>
      </c>
      <c r="P154" s="6"/>
      <c r="Q154" s="6" t="e">
        <f>(#REF!)*4.5%</f>
        <v>#REF!</v>
      </c>
      <c r="R154" s="6"/>
      <c r="S154" s="6" t="e">
        <f>(#REF!)*4.5%</f>
        <v>#REF!</v>
      </c>
      <c r="T154" s="6"/>
      <c r="U154" s="6" t="e">
        <f>(#REF!)*4.5%</f>
        <v>#REF!</v>
      </c>
      <c r="V154" s="6"/>
      <c r="W154" s="6" t="e">
        <f>(#REF!)*4.5%</f>
        <v>#REF!</v>
      </c>
      <c r="X154" s="6"/>
      <c r="Y154" s="6" t="e">
        <f>(#REF!)*4.5%</f>
        <v>#REF!</v>
      </c>
      <c r="Z154" s="6"/>
      <c r="AA154" s="6" t="e">
        <f t="shared" si="54"/>
        <v>#REF!</v>
      </c>
      <c r="AB154" s="43">
        <f t="shared" si="55"/>
        <v>0</v>
      </c>
    </row>
    <row r="155" spans="1:28" ht="20.25" customHeight="1">
      <c r="A155" s="47" t="s">
        <v>196</v>
      </c>
      <c r="C155" s="6">
        <v>0</v>
      </c>
      <c r="D155" s="6"/>
      <c r="E155" s="6">
        <v>0</v>
      </c>
      <c r="F155" s="6"/>
      <c r="G155" s="6">
        <v>30830.5</v>
      </c>
      <c r="H155" s="6"/>
      <c r="I155" s="6">
        <v>0</v>
      </c>
      <c r="J155" s="6"/>
      <c r="K155" s="6">
        <v>0</v>
      </c>
      <c r="L155" s="6"/>
      <c r="M155" s="6">
        <v>0</v>
      </c>
      <c r="N155" s="6"/>
      <c r="O155" s="6">
        <v>0</v>
      </c>
      <c r="P155" s="6"/>
      <c r="Q155" s="6">
        <v>0</v>
      </c>
      <c r="R155" s="6"/>
      <c r="S155" s="6">
        <v>0</v>
      </c>
      <c r="T155" s="6"/>
      <c r="U155" s="6">
        <v>0</v>
      </c>
      <c r="V155" s="6"/>
      <c r="W155" s="6">
        <v>0</v>
      </c>
      <c r="X155" s="6"/>
      <c r="Y155" s="6">
        <v>0</v>
      </c>
      <c r="Z155" s="6"/>
      <c r="AA155" s="6">
        <f t="shared" si="54"/>
        <v>30830.5</v>
      </c>
      <c r="AB155" s="43">
        <f t="shared" si="55"/>
        <v>0</v>
      </c>
    </row>
    <row r="156" spans="1:28" ht="20.25" customHeight="1">
      <c r="A156" s="47" t="s">
        <v>197</v>
      </c>
      <c r="C156" s="6" t="e">
        <f>(#REF!-#REF!-#REF!-#REF!)*5%-2418.99</f>
        <v>#REF!</v>
      </c>
      <c r="D156" s="6"/>
      <c r="E156" s="6" t="e">
        <f>(#REF!-#REF!-#REF!)*5%</f>
        <v>#REF!</v>
      </c>
      <c r="F156" s="6"/>
      <c r="G156" s="6" t="e">
        <f>(#REF!-#REF!-#REF!)*5%</f>
        <v>#REF!</v>
      </c>
      <c r="H156" s="6"/>
      <c r="I156" s="6" t="e">
        <f>(#REF!-#REF!-#REF!)*5%</f>
        <v>#REF!</v>
      </c>
      <c r="J156" s="6"/>
      <c r="K156" s="6" t="e">
        <f>(#REF!-#REF!-#REF!)*5%</f>
        <v>#REF!</v>
      </c>
      <c r="L156" s="6"/>
      <c r="M156" s="6" t="e">
        <f>(#REF!-#REF!-#REF!)*5%</f>
        <v>#REF!</v>
      </c>
      <c r="N156" s="6"/>
      <c r="O156" s="6" t="e">
        <f>(#REF!-#REF!-#REF!)*5%</f>
        <v>#REF!</v>
      </c>
      <c r="P156" s="6"/>
      <c r="Q156" s="6" t="e">
        <f>(#REF!-#REF!-#REF!)*5%</f>
        <v>#REF!</v>
      </c>
      <c r="R156" s="6"/>
      <c r="S156" s="6" t="e">
        <f>(#REF!-#REF!-#REF!)*5%</f>
        <v>#REF!</v>
      </c>
      <c r="T156" s="6"/>
      <c r="U156" s="6" t="e">
        <f>(#REF!-#REF!-#REF!)*5%</f>
        <v>#REF!</v>
      </c>
      <c r="V156" s="6"/>
      <c r="W156" s="6" t="e">
        <f>(#REF!-#REF!-#REF!)*5%</f>
        <v>#REF!</v>
      </c>
      <c r="X156" s="6"/>
      <c r="Y156" s="6" t="e">
        <f>(#REF!-#REF!-#REF!)*5%</f>
        <v>#REF!</v>
      </c>
      <c r="Z156" s="6"/>
      <c r="AA156" s="6" t="e">
        <f t="shared" si="54"/>
        <v>#REF!</v>
      </c>
      <c r="AB156" s="43">
        <f t="shared" si="55"/>
        <v>0</v>
      </c>
    </row>
    <row r="157" spans="1:28" ht="20.25" customHeight="1">
      <c r="A157" s="47" t="s">
        <v>198</v>
      </c>
      <c r="C157" s="6">
        <v>0</v>
      </c>
      <c r="D157" s="6"/>
      <c r="E157" s="6">
        <v>0</v>
      </c>
      <c r="F157" s="6"/>
      <c r="G157" s="6">
        <v>0</v>
      </c>
      <c r="H157" s="6"/>
      <c r="I157" s="6">
        <v>0</v>
      </c>
      <c r="J157" s="6"/>
      <c r="K157" s="6">
        <v>0</v>
      </c>
      <c r="L157" s="6"/>
      <c r="M157" s="6">
        <v>0</v>
      </c>
      <c r="N157" s="6"/>
      <c r="O157" s="6">
        <v>0</v>
      </c>
      <c r="P157" s="6"/>
      <c r="Q157" s="6">
        <v>0</v>
      </c>
      <c r="R157" s="6"/>
      <c r="S157" s="6">
        <v>0</v>
      </c>
      <c r="T157" s="6"/>
      <c r="U157" s="6">
        <v>0</v>
      </c>
      <c r="V157" s="6"/>
      <c r="W157" s="6">
        <v>0</v>
      </c>
      <c r="X157" s="6"/>
      <c r="Y157" s="6">
        <v>0</v>
      </c>
      <c r="Z157" s="6"/>
      <c r="AA157" s="6">
        <f t="shared" si="54"/>
        <v>0</v>
      </c>
      <c r="AB157" s="43">
        <f t="shared" si="55"/>
        <v>0</v>
      </c>
    </row>
    <row r="158" spans="1:28" ht="20.25" customHeight="1">
      <c r="A158" s="47" t="s">
        <v>199</v>
      </c>
      <c r="C158" s="6" t="e">
        <f>(#REF!)*1.65%-10000</f>
        <v>#REF!</v>
      </c>
      <c r="D158" s="6"/>
      <c r="E158" s="6" t="e">
        <f>(#REF!)*1.65%-10000</f>
        <v>#REF!</v>
      </c>
      <c r="F158" s="6"/>
      <c r="G158" s="6" t="e">
        <f>(#REF!)*1.65%-10000</f>
        <v>#REF!</v>
      </c>
      <c r="H158" s="6"/>
      <c r="I158" s="6" t="e">
        <f>(#REF!)*1.65%-10000</f>
        <v>#REF!</v>
      </c>
      <c r="J158" s="6"/>
      <c r="K158" s="6" t="e">
        <f>(#REF!)*1.65%-10000</f>
        <v>#REF!</v>
      </c>
      <c r="L158" s="6"/>
      <c r="M158" s="6" t="e">
        <f>(#REF!)*1.65%-10000</f>
        <v>#REF!</v>
      </c>
      <c r="N158" s="6"/>
      <c r="O158" s="6" t="e">
        <f>(#REF!)*1.65%-10000</f>
        <v>#REF!</v>
      </c>
      <c r="P158" s="6"/>
      <c r="Q158" s="6" t="e">
        <f>(#REF!)*1.65%-10000</f>
        <v>#REF!</v>
      </c>
      <c r="R158" s="6"/>
      <c r="S158" s="6" t="e">
        <f>(#REF!)*1.65%-10000</f>
        <v>#REF!</v>
      </c>
      <c r="T158" s="6"/>
      <c r="U158" s="6" t="e">
        <f>(#REF!)*1.65%-10000</f>
        <v>#REF!</v>
      </c>
      <c r="V158" s="6"/>
      <c r="W158" s="6" t="e">
        <f>(#REF!)*1.65%-10000</f>
        <v>#REF!</v>
      </c>
      <c r="X158" s="6"/>
      <c r="Y158" s="6" t="e">
        <f>(#REF!)*1.65%-10000</f>
        <v>#REF!</v>
      </c>
      <c r="Z158" s="6"/>
      <c r="AA158" s="6" t="e">
        <f t="shared" si="54"/>
        <v>#REF!</v>
      </c>
      <c r="AB158" s="43">
        <f t="shared" si="55"/>
        <v>0</v>
      </c>
    </row>
    <row r="159" spans="1:28" ht="20.25" customHeight="1">
      <c r="A159" s="64" t="s">
        <v>200</v>
      </c>
      <c r="B159" s="7"/>
      <c r="C159" s="8" t="e">
        <f t="shared" ref="C159:AB159" si="56">SUM(C144:C158)</f>
        <v>#REF!</v>
      </c>
      <c r="D159" s="8">
        <f>SUM(D144:D158)</f>
        <v>0</v>
      </c>
      <c r="E159" s="8" t="e">
        <f t="shared" si="56"/>
        <v>#REF!</v>
      </c>
      <c r="F159" s="8">
        <f>SUM(F144:F158)</f>
        <v>0</v>
      </c>
      <c r="G159" s="8" t="e">
        <f t="shared" si="56"/>
        <v>#REF!</v>
      </c>
      <c r="H159" s="8">
        <f>SUM(H144:H158)</f>
        <v>0</v>
      </c>
      <c r="I159" s="8" t="e">
        <f t="shared" si="56"/>
        <v>#REF!</v>
      </c>
      <c r="J159" s="8">
        <f>SUM(J144:J158)</f>
        <v>0</v>
      </c>
      <c r="K159" s="8" t="e">
        <f t="shared" si="56"/>
        <v>#REF!</v>
      </c>
      <c r="L159" s="8">
        <f>SUM(L144:L158)</f>
        <v>0</v>
      </c>
      <c r="M159" s="8" t="e">
        <f t="shared" si="56"/>
        <v>#REF!</v>
      </c>
      <c r="N159" s="8">
        <f>SUM(N144:N158)</f>
        <v>0</v>
      </c>
      <c r="O159" s="8" t="e">
        <f t="shared" si="56"/>
        <v>#REF!</v>
      </c>
      <c r="P159" s="8">
        <f>SUM(P144:P158)</f>
        <v>0</v>
      </c>
      <c r="Q159" s="8" t="e">
        <f t="shared" si="56"/>
        <v>#REF!</v>
      </c>
      <c r="R159" s="8">
        <f>SUM(R144:R158)</f>
        <v>0</v>
      </c>
      <c r="S159" s="8" t="e">
        <f t="shared" si="56"/>
        <v>#REF!</v>
      </c>
      <c r="T159" s="8">
        <f>SUM(T144:T158)</f>
        <v>0</v>
      </c>
      <c r="U159" s="8" t="e">
        <f t="shared" si="56"/>
        <v>#REF!</v>
      </c>
      <c r="V159" s="8">
        <f>SUM(V144:V158)</f>
        <v>0</v>
      </c>
      <c r="W159" s="8" t="e">
        <f t="shared" si="56"/>
        <v>#REF!</v>
      </c>
      <c r="X159" s="8">
        <f>SUM(X144:X158)</f>
        <v>0</v>
      </c>
      <c r="Y159" s="8" t="e">
        <f t="shared" si="56"/>
        <v>#REF!</v>
      </c>
      <c r="Z159" s="8">
        <f t="shared" si="56"/>
        <v>0</v>
      </c>
      <c r="AA159" s="8" t="e">
        <f t="shared" si="56"/>
        <v>#REF!</v>
      </c>
      <c r="AB159" s="61">
        <f t="shared" si="56"/>
        <v>0</v>
      </c>
    </row>
    <row r="160" spans="1:28" ht="26.65" customHeight="1">
      <c r="A160" s="66" t="s">
        <v>201</v>
      </c>
      <c r="B160" s="50"/>
      <c r="C160" s="29" t="s">
        <v>3</v>
      </c>
      <c r="D160" s="78">
        <f>D143</f>
        <v>43101</v>
      </c>
      <c r="E160" s="29" t="s">
        <v>4</v>
      </c>
      <c r="F160" s="78">
        <f>F143</f>
        <v>43132</v>
      </c>
      <c r="G160" s="29" t="s">
        <v>5</v>
      </c>
      <c r="H160" s="78">
        <f>H143</f>
        <v>43160</v>
      </c>
      <c r="I160" s="29" t="s">
        <v>6</v>
      </c>
      <c r="J160" s="78">
        <f>J143</f>
        <v>43191</v>
      </c>
      <c r="K160" s="29" t="s">
        <v>7</v>
      </c>
      <c r="L160" s="78">
        <f>L143</f>
        <v>43221</v>
      </c>
      <c r="M160" s="29" t="s">
        <v>8</v>
      </c>
      <c r="N160" s="78">
        <f>N143</f>
        <v>43252</v>
      </c>
      <c r="O160" s="29" t="s">
        <v>9</v>
      </c>
      <c r="P160" s="78">
        <f>P143</f>
        <v>43282</v>
      </c>
      <c r="Q160" s="29" t="s">
        <v>10</v>
      </c>
      <c r="R160" s="78">
        <f>R143</f>
        <v>43313</v>
      </c>
      <c r="S160" s="10" t="s">
        <v>11</v>
      </c>
      <c r="T160" s="78">
        <f>T143</f>
        <v>43344</v>
      </c>
      <c r="U160" s="10" t="s">
        <v>12</v>
      </c>
      <c r="V160" s="78">
        <f>V143</f>
        <v>43374</v>
      </c>
      <c r="W160" s="10" t="s">
        <v>13</v>
      </c>
      <c r="X160" s="78">
        <f>X143</f>
        <v>43405</v>
      </c>
      <c r="Y160" s="10" t="s">
        <v>14</v>
      </c>
      <c r="Z160" s="78">
        <f>Z143</f>
        <v>43435</v>
      </c>
      <c r="AA160" s="10" t="s">
        <v>37</v>
      </c>
      <c r="AB160" s="42" t="str">
        <f>AB143</f>
        <v>TOTAL 2018</v>
      </c>
    </row>
    <row r="161" spans="1:28" ht="20.25" customHeight="1">
      <c r="A161" s="47" t="s">
        <v>202</v>
      </c>
      <c r="C161" s="6">
        <v>60799.519999999997</v>
      </c>
      <c r="D161" s="6"/>
      <c r="E161" s="6">
        <v>59152.22</v>
      </c>
      <c r="F161" s="6"/>
      <c r="G161" s="6">
        <v>0</v>
      </c>
      <c r="H161" s="6"/>
      <c r="I161" s="6">
        <v>0</v>
      </c>
      <c r="J161" s="6"/>
      <c r="K161" s="6">
        <v>0</v>
      </c>
      <c r="L161" s="6"/>
      <c r="M161" s="6">
        <v>0</v>
      </c>
      <c r="N161" s="6"/>
      <c r="O161" s="6">
        <v>0</v>
      </c>
      <c r="P161" s="6"/>
      <c r="Q161" s="6">
        <v>0</v>
      </c>
      <c r="R161" s="6"/>
      <c r="S161" s="6">
        <v>0</v>
      </c>
      <c r="T161" s="6"/>
      <c r="U161" s="6">
        <v>0</v>
      </c>
      <c r="V161" s="6"/>
      <c r="W161" s="6">
        <v>0</v>
      </c>
      <c r="X161" s="6"/>
      <c r="Y161" s="6">
        <v>0</v>
      </c>
      <c r="Z161" s="6"/>
      <c r="AA161" s="6">
        <f t="shared" ref="AA161:AB166" si="57">SUM(C161+E161+G161+I161+K161+M161+O161+Q161+S161+U161+W161+Y161)</f>
        <v>119951.73999999999</v>
      </c>
      <c r="AB161" s="43">
        <f t="shared" si="57"/>
        <v>0</v>
      </c>
    </row>
    <row r="162" spans="1:28" ht="20.25" customHeight="1">
      <c r="A162" s="47" t="s">
        <v>203</v>
      </c>
      <c r="C162" s="6">
        <v>0</v>
      </c>
      <c r="D162" s="6"/>
      <c r="E162" s="6">
        <v>0</v>
      </c>
      <c r="F162" s="6"/>
      <c r="G162" s="6">
        <v>0</v>
      </c>
      <c r="H162" s="6"/>
      <c r="I162" s="6">
        <v>0</v>
      </c>
      <c r="J162" s="6"/>
      <c r="K162" s="6">
        <v>0</v>
      </c>
      <c r="L162" s="6"/>
      <c r="M162" s="6">
        <v>0</v>
      </c>
      <c r="N162" s="6"/>
      <c r="O162" s="6">
        <v>0</v>
      </c>
      <c r="P162" s="6"/>
      <c r="Q162" s="6">
        <v>0</v>
      </c>
      <c r="R162" s="6"/>
      <c r="S162" s="6">
        <v>0</v>
      </c>
      <c r="T162" s="6"/>
      <c r="U162" s="6">
        <v>0</v>
      </c>
      <c r="V162" s="6"/>
      <c r="W162" s="6">
        <v>0</v>
      </c>
      <c r="X162" s="6"/>
      <c r="Y162" s="6"/>
      <c r="Z162" s="6"/>
      <c r="AA162" s="6">
        <f t="shared" si="57"/>
        <v>0</v>
      </c>
      <c r="AB162" s="43">
        <f t="shared" si="57"/>
        <v>0</v>
      </c>
    </row>
    <row r="163" spans="1:28" ht="20.25" customHeight="1">
      <c r="A163" s="47" t="s">
        <v>204</v>
      </c>
      <c r="C163" s="6">
        <v>0</v>
      </c>
      <c r="D163" s="6"/>
      <c r="E163" s="6">
        <v>0</v>
      </c>
      <c r="F163" s="6"/>
      <c r="G163" s="6">
        <v>0</v>
      </c>
      <c r="H163" s="6"/>
      <c r="I163" s="6">
        <v>0</v>
      </c>
      <c r="J163" s="6"/>
      <c r="K163" s="6">
        <v>0</v>
      </c>
      <c r="L163" s="6"/>
      <c r="M163" s="6">
        <v>0</v>
      </c>
      <c r="N163" s="6"/>
      <c r="O163" s="6">
        <v>0</v>
      </c>
      <c r="P163" s="6"/>
      <c r="Q163" s="6">
        <v>0</v>
      </c>
      <c r="R163" s="6"/>
      <c r="S163" s="6">
        <v>0</v>
      </c>
      <c r="T163" s="6"/>
      <c r="U163" s="6">
        <v>0</v>
      </c>
      <c r="V163" s="6"/>
      <c r="W163" s="6">
        <v>0</v>
      </c>
      <c r="X163" s="6"/>
      <c r="Y163" s="6">
        <v>0</v>
      </c>
      <c r="Z163" s="6"/>
      <c r="AA163" s="6">
        <f t="shared" si="57"/>
        <v>0</v>
      </c>
      <c r="AB163" s="43">
        <f t="shared" si="57"/>
        <v>0</v>
      </c>
    </row>
    <row r="164" spans="1:28" ht="20.25" customHeight="1">
      <c r="A164" s="47" t="s">
        <v>205</v>
      </c>
      <c r="C164" s="6">
        <v>633364.22</v>
      </c>
      <c r="D164" s="6"/>
      <c r="E164" s="6">
        <v>633364.22</v>
      </c>
      <c r="F164" s="6"/>
      <c r="G164" s="6">
        <v>0</v>
      </c>
      <c r="H164" s="6"/>
      <c r="I164" s="6">
        <v>0</v>
      </c>
      <c r="J164" s="6"/>
      <c r="K164" s="6">
        <v>0</v>
      </c>
      <c r="L164" s="6"/>
      <c r="M164" s="6">
        <v>0</v>
      </c>
      <c r="N164" s="6"/>
      <c r="O164" s="6">
        <v>0</v>
      </c>
      <c r="P164" s="6"/>
      <c r="Q164" s="6">
        <v>0</v>
      </c>
      <c r="R164" s="6"/>
      <c r="S164" s="6">
        <v>0</v>
      </c>
      <c r="T164" s="6"/>
      <c r="U164" s="6">
        <v>0</v>
      </c>
      <c r="V164" s="6"/>
      <c r="W164" s="6">
        <v>0</v>
      </c>
      <c r="X164" s="6"/>
      <c r="Y164" s="6">
        <v>0</v>
      </c>
      <c r="Z164" s="6"/>
      <c r="AA164" s="6">
        <f t="shared" si="57"/>
        <v>1266728.44</v>
      </c>
      <c r="AB164" s="43">
        <f t="shared" si="57"/>
        <v>0</v>
      </c>
    </row>
    <row r="165" spans="1:28" ht="20.25" customHeight="1">
      <c r="A165" s="47" t="s">
        <v>206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>
        <f t="shared" si="57"/>
        <v>0</v>
      </c>
      <c r="AB165" s="43">
        <f t="shared" si="57"/>
        <v>0</v>
      </c>
    </row>
    <row r="166" spans="1:28" ht="20.25" customHeight="1">
      <c r="A166" s="47" t="s">
        <v>207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>
        <f t="shared" si="57"/>
        <v>0</v>
      </c>
      <c r="AB166" s="43">
        <f t="shared" si="57"/>
        <v>0</v>
      </c>
    </row>
    <row r="167" spans="1:28" ht="20.25" customHeight="1">
      <c r="A167" s="64" t="s">
        <v>208</v>
      </c>
      <c r="B167" s="7"/>
      <c r="C167" s="8">
        <f>SUM(C161:C166)</f>
        <v>694163.74</v>
      </c>
      <c r="D167" s="8">
        <f t="shared" ref="D167:AB167" si="58">SUM(D161:D166)</f>
        <v>0</v>
      </c>
      <c r="E167" s="8">
        <f t="shared" si="58"/>
        <v>692516.44</v>
      </c>
      <c r="F167" s="8">
        <f t="shared" si="58"/>
        <v>0</v>
      </c>
      <c r="G167" s="8">
        <f t="shared" si="58"/>
        <v>0</v>
      </c>
      <c r="H167" s="8">
        <f t="shared" si="58"/>
        <v>0</v>
      </c>
      <c r="I167" s="8">
        <f t="shared" si="58"/>
        <v>0</v>
      </c>
      <c r="J167" s="8">
        <f t="shared" si="58"/>
        <v>0</v>
      </c>
      <c r="K167" s="8">
        <f t="shared" si="58"/>
        <v>0</v>
      </c>
      <c r="L167" s="8">
        <f t="shared" si="58"/>
        <v>0</v>
      </c>
      <c r="M167" s="8">
        <f t="shared" si="58"/>
        <v>0</v>
      </c>
      <c r="N167" s="8">
        <f t="shared" si="58"/>
        <v>0</v>
      </c>
      <c r="O167" s="8">
        <f t="shared" si="58"/>
        <v>0</v>
      </c>
      <c r="P167" s="8">
        <f t="shared" si="58"/>
        <v>0</v>
      </c>
      <c r="Q167" s="8">
        <f t="shared" si="58"/>
        <v>0</v>
      </c>
      <c r="R167" s="8">
        <f t="shared" si="58"/>
        <v>0</v>
      </c>
      <c r="S167" s="8">
        <f t="shared" si="58"/>
        <v>0</v>
      </c>
      <c r="T167" s="8">
        <f t="shared" si="58"/>
        <v>0</v>
      </c>
      <c r="U167" s="8">
        <f t="shared" si="58"/>
        <v>0</v>
      </c>
      <c r="V167" s="8">
        <f t="shared" si="58"/>
        <v>0</v>
      </c>
      <c r="W167" s="8">
        <f t="shared" si="58"/>
        <v>0</v>
      </c>
      <c r="X167" s="8">
        <f t="shared" si="58"/>
        <v>0</v>
      </c>
      <c r="Y167" s="8">
        <f t="shared" si="58"/>
        <v>0</v>
      </c>
      <c r="Z167" s="8">
        <f t="shared" si="58"/>
        <v>0</v>
      </c>
      <c r="AA167" s="8">
        <f t="shared" si="58"/>
        <v>1386680.18</v>
      </c>
      <c r="AB167" s="61">
        <f t="shared" si="58"/>
        <v>0</v>
      </c>
    </row>
    <row r="168" spans="1:28" ht="27.75" customHeight="1">
      <c r="A168" s="66" t="s">
        <v>209</v>
      </c>
      <c r="B168" s="50"/>
      <c r="C168" s="29" t="s">
        <v>3</v>
      </c>
      <c r="D168" s="78">
        <f>D160</f>
        <v>43101</v>
      </c>
      <c r="E168" s="29" t="s">
        <v>4</v>
      </c>
      <c r="F168" s="78">
        <f>F160</f>
        <v>43132</v>
      </c>
      <c r="G168" s="29" t="s">
        <v>5</v>
      </c>
      <c r="H168" s="78">
        <f>H160</f>
        <v>43160</v>
      </c>
      <c r="I168" s="29" t="s">
        <v>6</v>
      </c>
      <c r="J168" s="78">
        <f>J160</f>
        <v>43191</v>
      </c>
      <c r="K168" s="29" t="s">
        <v>7</v>
      </c>
      <c r="L168" s="78">
        <f>L160</f>
        <v>43221</v>
      </c>
      <c r="M168" s="29" t="s">
        <v>8</v>
      </c>
      <c r="N168" s="78">
        <f>N160</f>
        <v>43252</v>
      </c>
      <c r="O168" s="29" t="s">
        <v>9</v>
      </c>
      <c r="P168" s="78">
        <f>P160</f>
        <v>43282</v>
      </c>
      <c r="Q168" s="29" t="s">
        <v>10</v>
      </c>
      <c r="R168" s="78">
        <f>R160</f>
        <v>43313</v>
      </c>
      <c r="S168" s="10" t="s">
        <v>11</v>
      </c>
      <c r="T168" s="78">
        <f>T160</f>
        <v>43344</v>
      </c>
      <c r="U168" s="10" t="s">
        <v>12</v>
      </c>
      <c r="V168" s="78">
        <f>V160</f>
        <v>43374</v>
      </c>
      <c r="W168" s="10" t="s">
        <v>13</v>
      </c>
      <c r="X168" s="78">
        <f>X160</f>
        <v>43405</v>
      </c>
      <c r="Y168" s="10" t="s">
        <v>14</v>
      </c>
      <c r="Z168" s="78">
        <f>Z160</f>
        <v>43435</v>
      </c>
      <c r="AA168" s="10" t="s">
        <v>37</v>
      </c>
      <c r="AB168" s="42" t="str">
        <f>AB160</f>
        <v>TOTAL 2018</v>
      </c>
    </row>
    <row r="169" spans="1:28" ht="20.25" hidden="1" customHeight="1">
      <c r="A169" s="68" t="s">
        <v>210</v>
      </c>
      <c r="B169" s="52"/>
      <c r="C169" s="82">
        <v>0</v>
      </c>
      <c r="D169" s="82"/>
      <c r="E169" s="82">
        <v>595454.54</v>
      </c>
      <c r="F169" s="82"/>
      <c r="G169" s="82">
        <v>595454.54</v>
      </c>
      <c r="H169" s="82"/>
      <c r="I169" s="82">
        <v>595454.54</v>
      </c>
      <c r="J169" s="82"/>
      <c r="K169" s="82">
        <v>595454.54</v>
      </c>
      <c r="L169" s="82"/>
      <c r="M169" s="82">
        <v>595454.54</v>
      </c>
      <c r="N169" s="82"/>
      <c r="O169" s="82">
        <v>595454.54</v>
      </c>
      <c r="P169" s="82"/>
      <c r="Q169" s="82">
        <v>595454.54</v>
      </c>
      <c r="R169" s="82"/>
      <c r="S169" s="82">
        <v>595454.54</v>
      </c>
      <c r="T169" s="82"/>
      <c r="U169" s="82">
        <v>595454.54</v>
      </c>
      <c r="V169" s="82"/>
      <c r="W169" s="82">
        <v>595454.54</v>
      </c>
      <c r="X169" s="82"/>
      <c r="Y169" s="82">
        <v>595454.6</v>
      </c>
      <c r="Z169" s="82"/>
      <c r="AA169" s="82">
        <f>SUM(C169:Y169)</f>
        <v>6550000</v>
      </c>
      <c r="AB169" s="9"/>
    </row>
    <row r="170" spans="1:28" ht="20.25" customHeight="1">
      <c r="A170" s="85" t="s">
        <v>211</v>
      </c>
      <c r="B170" s="49"/>
      <c r="C170" s="6"/>
      <c r="D170" s="6">
        <v>90000</v>
      </c>
      <c r="E170" s="6">
        <v>0</v>
      </c>
      <c r="F170" s="6">
        <f>D170</f>
        <v>90000</v>
      </c>
      <c r="G170" s="6">
        <v>0</v>
      </c>
      <c r="H170" s="6">
        <f>D170</f>
        <v>90000</v>
      </c>
      <c r="I170" s="6">
        <v>0</v>
      </c>
      <c r="J170" s="6">
        <f>H170</f>
        <v>90000</v>
      </c>
      <c r="K170" s="6">
        <v>0</v>
      </c>
      <c r="L170" s="6">
        <f>J170</f>
        <v>90000</v>
      </c>
      <c r="M170" s="6">
        <v>0</v>
      </c>
      <c r="N170" s="6">
        <f>L170</f>
        <v>90000</v>
      </c>
      <c r="O170" s="6">
        <v>0</v>
      </c>
      <c r="P170" s="6">
        <f>N170</f>
        <v>90000</v>
      </c>
      <c r="Q170" s="6">
        <v>0</v>
      </c>
      <c r="R170" s="6">
        <f>P170</f>
        <v>90000</v>
      </c>
      <c r="S170" s="6">
        <v>0</v>
      </c>
      <c r="T170" s="6">
        <f>R170</f>
        <v>90000</v>
      </c>
      <c r="U170" s="6">
        <v>0</v>
      </c>
      <c r="V170" s="6">
        <f>T170</f>
        <v>90000</v>
      </c>
      <c r="W170" s="6">
        <v>0</v>
      </c>
      <c r="X170" s="6">
        <f>V170</f>
        <v>90000</v>
      </c>
      <c r="Y170" s="6">
        <v>0</v>
      </c>
      <c r="Z170" s="6">
        <f>X170</f>
        <v>90000</v>
      </c>
      <c r="AA170" s="6">
        <f t="shared" ref="AA170:AB191" si="59">SUM(C170+E170+G170+I170+K170+M170+O170+Q170+S170+U170+W170+Y170)</f>
        <v>0</v>
      </c>
      <c r="AB170" s="43">
        <f t="shared" si="59"/>
        <v>1080000</v>
      </c>
    </row>
    <row r="171" spans="1:28" ht="20.25" customHeight="1">
      <c r="A171" s="86" t="s">
        <v>212</v>
      </c>
      <c r="B171" s="49"/>
      <c r="C171" s="6">
        <v>0</v>
      </c>
      <c r="D171" s="6">
        <v>50000</v>
      </c>
      <c r="E171" s="6">
        <v>0</v>
      </c>
      <c r="F171" s="6">
        <f>D171</f>
        <v>50000</v>
      </c>
      <c r="G171" s="6">
        <v>0</v>
      </c>
      <c r="H171" s="6">
        <f>D171</f>
        <v>50000</v>
      </c>
      <c r="I171" s="6">
        <v>0</v>
      </c>
      <c r="J171" s="6">
        <f>H171</f>
        <v>50000</v>
      </c>
      <c r="K171" s="6">
        <v>0</v>
      </c>
      <c r="L171" s="6">
        <f>J171</f>
        <v>50000</v>
      </c>
      <c r="M171" s="6">
        <v>0</v>
      </c>
      <c r="N171" s="6">
        <f>L171</f>
        <v>50000</v>
      </c>
      <c r="O171" s="6">
        <v>0</v>
      </c>
      <c r="P171" s="6">
        <f>N171</f>
        <v>50000</v>
      </c>
      <c r="Q171" s="6">
        <v>0</v>
      </c>
      <c r="R171" s="6">
        <f>P171</f>
        <v>50000</v>
      </c>
      <c r="S171" s="6">
        <v>0</v>
      </c>
      <c r="T171" s="6">
        <f>R171</f>
        <v>50000</v>
      </c>
      <c r="U171" s="6">
        <v>0</v>
      </c>
      <c r="V171" s="6">
        <f>T171</f>
        <v>50000</v>
      </c>
      <c r="W171" s="6">
        <v>0</v>
      </c>
      <c r="X171" s="6">
        <f>V171</f>
        <v>50000</v>
      </c>
      <c r="Y171" s="6">
        <v>0</v>
      </c>
      <c r="Z171" s="6">
        <f>X171</f>
        <v>50000</v>
      </c>
      <c r="AA171" s="6">
        <f t="shared" si="59"/>
        <v>0</v>
      </c>
      <c r="AB171" s="43">
        <f t="shared" si="59"/>
        <v>600000</v>
      </c>
    </row>
    <row r="172" spans="1:28" ht="20.25" customHeight="1">
      <c r="A172" s="86" t="s">
        <v>213</v>
      </c>
      <c r="B172" s="49"/>
      <c r="C172" s="6">
        <v>0</v>
      </c>
      <c r="D172" s="6">
        <v>408000</v>
      </c>
      <c r="E172" s="6">
        <v>0</v>
      </c>
      <c r="F172" s="6">
        <f>D172</f>
        <v>408000</v>
      </c>
      <c r="G172" s="6">
        <v>0</v>
      </c>
      <c r="H172" s="6">
        <f>D172</f>
        <v>408000</v>
      </c>
      <c r="I172" s="6">
        <v>0</v>
      </c>
      <c r="J172" s="6">
        <f>H172</f>
        <v>408000</v>
      </c>
      <c r="K172" s="6">
        <v>0</v>
      </c>
      <c r="L172" s="6">
        <f>J172</f>
        <v>408000</v>
      </c>
      <c r="M172" s="6">
        <v>0</v>
      </c>
      <c r="N172" s="6">
        <f>L172</f>
        <v>408000</v>
      </c>
      <c r="O172" s="6">
        <v>0</v>
      </c>
      <c r="P172" s="6">
        <f>N172</f>
        <v>408000</v>
      </c>
      <c r="Q172" s="6">
        <v>0</v>
      </c>
      <c r="R172" s="6">
        <f>P172</f>
        <v>408000</v>
      </c>
      <c r="S172" s="6">
        <v>0</v>
      </c>
      <c r="T172" s="6">
        <f>R172</f>
        <v>408000</v>
      </c>
      <c r="U172" s="6">
        <v>0</v>
      </c>
      <c r="V172" s="6">
        <f>T172</f>
        <v>408000</v>
      </c>
      <c r="W172" s="6">
        <v>0</v>
      </c>
      <c r="X172" s="6">
        <f>V172</f>
        <v>408000</v>
      </c>
      <c r="Y172" s="6">
        <v>0</v>
      </c>
      <c r="Z172" s="6">
        <f>X172</f>
        <v>408000</v>
      </c>
      <c r="AA172" s="6">
        <f t="shared" si="59"/>
        <v>0</v>
      </c>
      <c r="AB172" s="43">
        <f t="shared" si="59"/>
        <v>4896000</v>
      </c>
    </row>
    <row r="173" spans="1:28" ht="20.25" customHeight="1">
      <c r="A173" s="85" t="s">
        <v>214</v>
      </c>
      <c r="B173" s="49"/>
      <c r="C173" s="6">
        <v>0</v>
      </c>
      <c r="D173" s="6">
        <v>10000</v>
      </c>
      <c r="E173" s="6">
        <v>0</v>
      </c>
      <c r="F173" s="6">
        <f>D173</f>
        <v>10000</v>
      </c>
      <c r="G173" s="6">
        <v>0</v>
      </c>
      <c r="H173" s="6">
        <f>D173</f>
        <v>10000</v>
      </c>
      <c r="I173" s="6">
        <v>0</v>
      </c>
      <c r="J173" s="6">
        <f>H173</f>
        <v>10000</v>
      </c>
      <c r="K173" s="6">
        <v>0</v>
      </c>
      <c r="L173" s="6">
        <f>J173</f>
        <v>10000</v>
      </c>
      <c r="M173" s="6">
        <v>0</v>
      </c>
      <c r="N173" s="6">
        <f>L173</f>
        <v>10000</v>
      </c>
      <c r="O173" s="6">
        <v>0</v>
      </c>
      <c r="P173" s="6">
        <f>N173</f>
        <v>10000</v>
      </c>
      <c r="Q173" s="6">
        <v>0</v>
      </c>
      <c r="R173" s="6">
        <f>P173</f>
        <v>10000</v>
      </c>
      <c r="S173" s="6">
        <v>0</v>
      </c>
      <c r="T173" s="6">
        <f>R173</f>
        <v>10000</v>
      </c>
      <c r="U173" s="6">
        <v>0</v>
      </c>
      <c r="V173" s="6">
        <f>T173</f>
        <v>10000</v>
      </c>
      <c r="W173" s="6">
        <v>0</v>
      </c>
      <c r="X173" s="6">
        <f>V173</f>
        <v>10000</v>
      </c>
      <c r="Y173" s="6">
        <v>0</v>
      </c>
      <c r="Z173" s="6">
        <f>X173</f>
        <v>10000</v>
      </c>
      <c r="AA173" s="6">
        <f t="shared" si="59"/>
        <v>0</v>
      </c>
      <c r="AB173" s="43">
        <f t="shared" si="59"/>
        <v>120000</v>
      </c>
    </row>
    <row r="174" spans="1:28" ht="20.25" customHeight="1">
      <c r="A174" s="85" t="s">
        <v>215</v>
      </c>
      <c r="B174" s="49"/>
      <c r="C174" s="6">
        <v>0</v>
      </c>
      <c r="D174" s="6"/>
      <c r="E174" s="6">
        <v>0</v>
      </c>
      <c r="F174" s="6"/>
      <c r="G174" s="6">
        <v>0</v>
      </c>
      <c r="H174" s="6"/>
      <c r="I174" s="6">
        <v>0</v>
      </c>
      <c r="J174" s="6">
        <v>30000</v>
      </c>
      <c r="K174" s="6">
        <v>0</v>
      </c>
      <c r="L174" s="6"/>
      <c r="M174" s="6">
        <v>0</v>
      </c>
      <c r="N174" s="6"/>
      <c r="O174" s="6">
        <v>0</v>
      </c>
      <c r="P174" s="6"/>
      <c r="Q174" s="6">
        <v>0</v>
      </c>
      <c r="R174" s="6"/>
      <c r="S174" s="6">
        <v>0</v>
      </c>
      <c r="T174" s="6"/>
      <c r="U174" s="6">
        <v>0</v>
      </c>
      <c r="V174" s="6"/>
      <c r="W174" s="6">
        <v>0</v>
      </c>
      <c r="X174" s="6"/>
      <c r="Y174" s="6">
        <v>0</v>
      </c>
      <c r="Z174" s="6"/>
      <c r="AA174" s="6">
        <f t="shared" si="59"/>
        <v>0</v>
      </c>
      <c r="AB174" s="43">
        <f t="shared" si="59"/>
        <v>30000</v>
      </c>
    </row>
    <row r="175" spans="1:28" ht="20.25" customHeight="1">
      <c r="B175" s="49"/>
      <c r="C175" s="6">
        <v>0</v>
      </c>
      <c r="D175" s="6"/>
      <c r="E175" s="6">
        <v>0</v>
      </c>
      <c r="F175" s="6"/>
      <c r="G175" s="6">
        <v>0</v>
      </c>
      <c r="H175" s="6"/>
      <c r="I175" s="6">
        <v>0</v>
      </c>
      <c r="J175" s="6"/>
      <c r="K175" s="6"/>
      <c r="L175" s="6"/>
      <c r="M175" s="6">
        <v>0</v>
      </c>
      <c r="N175" s="6"/>
      <c r="O175" s="6">
        <v>0</v>
      </c>
      <c r="P175" s="6"/>
      <c r="Q175" s="6">
        <v>0</v>
      </c>
      <c r="R175" s="6"/>
      <c r="S175" s="6">
        <v>0</v>
      </c>
      <c r="T175" s="6"/>
      <c r="U175" s="6">
        <v>0</v>
      </c>
      <c r="V175" s="6"/>
      <c r="W175" s="6">
        <v>0</v>
      </c>
      <c r="X175" s="6"/>
      <c r="Y175" s="6">
        <v>0</v>
      </c>
      <c r="Z175" s="6"/>
      <c r="AA175" s="6">
        <f t="shared" si="59"/>
        <v>0</v>
      </c>
      <c r="AB175" s="43">
        <f t="shared" si="59"/>
        <v>0</v>
      </c>
    </row>
    <row r="176" spans="1:28" ht="20.25" customHeight="1">
      <c r="B176" s="49"/>
      <c r="C176" s="6">
        <v>0</v>
      </c>
      <c r="D176" s="6"/>
      <c r="E176" s="6">
        <v>0</v>
      </c>
      <c r="F176" s="6"/>
      <c r="G176" s="6">
        <v>0</v>
      </c>
      <c r="H176" s="6"/>
      <c r="I176" s="6">
        <v>0</v>
      </c>
      <c r="J176" s="6"/>
      <c r="K176" s="6">
        <v>0</v>
      </c>
      <c r="L176" s="6"/>
      <c r="M176" s="6">
        <v>0</v>
      </c>
      <c r="N176" s="6"/>
      <c r="O176" s="6">
        <v>0</v>
      </c>
      <c r="P176" s="6"/>
      <c r="Q176" s="6">
        <v>0</v>
      </c>
      <c r="R176" s="6"/>
      <c r="S176" s="6">
        <v>0</v>
      </c>
      <c r="T176" s="6"/>
      <c r="U176" s="6">
        <v>0</v>
      </c>
      <c r="V176" s="6"/>
      <c r="W176" s="6">
        <v>0</v>
      </c>
      <c r="X176" s="6"/>
      <c r="Y176" s="6">
        <v>0</v>
      </c>
      <c r="Z176" s="6"/>
      <c r="AA176" s="6">
        <f t="shared" si="59"/>
        <v>0</v>
      </c>
      <c r="AB176" s="43">
        <f t="shared" si="59"/>
        <v>0</v>
      </c>
    </row>
    <row r="177" spans="1:28" ht="20.25" customHeight="1">
      <c r="B177" s="49"/>
      <c r="C177" s="6">
        <v>0</v>
      </c>
      <c r="D177" s="6"/>
      <c r="E177" s="6">
        <v>0</v>
      </c>
      <c r="F177" s="6"/>
      <c r="G177" s="6">
        <v>0</v>
      </c>
      <c r="H177" s="6"/>
      <c r="I177" s="6">
        <v>0</v>
      </c>
      <c r="J177" s="6"/>
      <c r="K177" s="6">
        <v>0</v>
      </c>
      <c r="L177" s="6"/>
      <c r="M177" s="6">
        <v>0</v>
      </c>
      <c r="N177" s="6"/>
      <c r="O177" s="6">
        <v>0</v>
      </c>
      <c r="P177" s="6"/>
      <c r="Q177" s="6">
        <v>0</v>
      </c>
      <c r="R177" s="6"/>
      <c r="S177" s="6">
        <v>0</v>
      </c>
      <c r="T177" s="6"/>
      <c r="U177" s="6">
        <v>0</v>
      </c>
      <c r="V177" s="6"/>
      <c r="W177" s="6">
        <v>0</v>
      </c>
      <c r="X177" s="6"/>
      <c r="Y177" s="6">
        <v>0</v>
      </c>
      <c r="Z177" s="6"/>
      <c r="AA177" s="6">
        <f t="shared" si="59"/>
        <v>0</v>
      </c>
      <c r="AB177" s="43">
        <f t="shared" si="59"/>
        <v>0</v>
      </c>
    </row>
    <row r="178" spans="1:28" ht="20.25" customHeight="1">
      <c r="B178" s="49"/>
      <c r="C178" s="6">
        <v>0</v>
      </c>
      <c r="D178" s="6"/>
      <c r="E178" s="6">
        <v>0</v>
      </c>
      <c r="F178" s="6"/>
      <c r="G178" s="6">
        <v>0</v>
      </c>
      <c r="H178" s="6"/>
      <c r="I178" s="6">
        <v>0</v>
      </c>
      <c r="J178" s="6"/>
      <c r="K178" s="6">
        <v>0</v>
      </c>
      <c r="L178" s="6"/>
      <c r="M178" s="6">
        <v>0</v>
      </c>
      <c r="N178" s="6"/>
      <c r="O178" s="6">
        <v>0</v>
      </c>
      <c r="P178" s="6"/>
      <c r="Q178" s="6">
        <v>0</v>
      </c>
      <c r="R178" s="6"/>
      <c r="S178" s="6">
        <v>0</v>
      </c>
      <c r="T178" s="6"/>
      <c r="U178" s="6">
        <v>0</v>
      </c>
      <c r="V178" s="6"/>
      <c r="W178" s="6">
        <v>0</v>
      </c>
      <c r="X178" s="6"/>
      <c r="Y178" s="6">
        <v>0</v>
      </c>
      <c r="Z178" s="6"/>
      <c r="AA178" s="6">
        <f t="shared" si="59"/>
        <v>0</v>
      </c>
      <c r="AB178" s="43">
        <f t="shared" si="59"/>
        <v>0</v>
      </c>
    </row>
    <row r="179" spans="1:28" ht="20.25" customHeight="1">
      <c r="B179" s="49"/>
      <c r="C179" s="6">
        <v>0</v>
      </c>
      <c r="D179" s="6"/>
      <c r="E179" s="6">
        <v>0</v>
      </c>
      <c r="F179" s="6"/>
      <c r="G179" s="6">
        <v>0</v>
      </c>
      <c r="H179" s="6"/>
      <c r="I179" s="6">
        <v>0</v>
      </c>
      <c r="J179" s="6"/>
      <c r="K179" s="6">
        <v>0</v>
      </c>
      <c r="L179" s="6"/>
      <c r="M179" s="6">
        <v>0</v>
      </c>
      <c r="N179" s="6"/>
      <c r="O179" s="6">
        <v>0</v>
      </c>
      <c r="P179" s="6"/>
      <c r="Q179" s="6">
        <v>0</v>
      </c>
      <c r="R179" s="6"/>
      <c r="S179" s="6">
        <v>0</v>
      </c>
      <c r="T179" s="6"/>
      <c r="U179" s="6">
        <v>0</v>
      </c>
      <c r="V179" s="6"/>
      <c r="W179" s="6">
        <v>0</v>
      </c>
      <c r="X179" s="6"/>
      <c r="Y179" s="6">
        <v>0</v>
      </c>
      <c r="Z179" s="6"/>
      <c r="AA179" s="6">
        <f t="shared" si="59"/>
        <v>0</v>
      </c>
      <c r="AB179" s="43">
        <f t="shared" si="59"/>
        <v>0</v>
      </c>
    </row>
    <row r="180" spans="1:28" ht="20.25" customHeight="1">
      <c r="B180" s="49"/>
      <c r="C180" s="6">
        <v>0</v>
      </c>
      <c r="D180" s="6"/>
      <c r="E180" s="6">
        <v>0</v>
      </c>
      <c r="F180" s="6"/>
      <c r="G180" s="6">
        <v>0</v>
      </c>
      <c r="H180" s="6"/>
      <c r="I180" s="6">
        <v>0</v>
      </c>
      <c r="J180" s="6"/>
      <c r="K180" s="6">
        <v>0</v>
      </c>
      <c r="L180" s="6"/>
      <c r="M180" s="6">
        <v>0</v>
      </c>
      <c r="N180" s="6"/>
      <c r="O180" s="6">
        <v>0</v>
      </c>
      <c r="P180" s="6"/>
      <c r="Q180" s="6">
        <v>0</v>
      </c>
      <c r="R180" s="6"/>
      <c r="S180" s="6">
        <v>0</v>
      </c>
      <c r="T180" s="6"/>
      <c r="U180" s="6">
        <v>0</v>
      </c>
      <c r="V180" s="6"/>
      <c r="W180" s="6">
        <v>0</v>
      </c>
      <c r="X180" s="6"/>
      <c r="Y180" s="6">
        <v>0</v>
      </c>
      <c r="Z180" s="6"/>
      <c r="AA180" s="6">
        <f t="shared" si="59"/>
        <v>0</v>
      </c>
      <c r="AB180" s="43">
        <f t="shared" si="59"/>
        <v>0</v>
      </c>
    </row>
    <row r="181" spans="1:28" ht="20.25" customHeight="1">
      <c r="B181" s="49"/>
      <c r="C181" s="6">
        <v>0</v>
      </c>
      <c r="D181" s="6"/>
      <c r="E181" s="6">
        <v>0</v>
      </c>
      <c r="F181" s="6"/>
      <c r="G181" s="6">
        <v>0</v>
      </c>
      <c r="H181" s="6"/>
      <c r="I181" s="6">
        <v>0</v>
      </c>
      <c r="J181" s="6"/>
      <c r="K181" s="6">
        <v>0</v>
      </c>
      <c r="L181" s="6"/>
      <c r="M181" s="6">
        <v>0</v>
      </c>
      <c r="N181" s="6"/>
      <c r="O181" s="6">
        <v>0</v>
      </c>
      <c r="P181" s="6"/>
      <c r="Q181" s="6">
        <v>0</v>
      </c>
      <c r="R181" s="6"/>
      <c r="S181" s="6">
        <v>0</v>
      </c>
      <c r="T181" s="6"/>
      <c r="U181" s="6">
        <v>0</v>
      </c>
      <c r="V181" s="6"/>
      <c r="W181" s="6">
        <v>0</v>
      </c>
      <c r="X181" s="6"/>
      <c r="Y181" s="6">
        <v>0</v>
      </c>
      <c r="Z181" s="6"/>
      <c r="AA181" s="6">
        <f t="shared" si="59"/>
        <v>0</v>
      </c>
      <c r="AB181" s="43">
        <f t="shared" si="59"/>
        <v>0</v>
      </c>
    </row>
    <row r="182" spans="1:28" ht="20.25" customHeight="1">
      <c r="B182" s="49"/>
      <c r="C182" s="6">
        <v>0</v>
      </c>
      <c r="D182" s="6"/>
      <c r="E182" s="6">
        <v>0</v>
      </c>
      <c r="F182" s="6"/>
      <c r="G182" s="6">
        <v>0</v>
      </c>
      <c r="H182" s="6"/>
      <c r="I182" s="6">
        <v>0</v>
      </c>
      <c r="J182" s="6"/>
      <c r="K182" s="6">
        <v>0</v>
      </c>
      <c r="L182" s="6"/>
      <c r="M182" s="6">
        <v>0</v>
      </c>
      <c r="N182" s="6"/>
      <c r="O182" s="6">
        <v>0</v>
      </c>
      <c r="P182" s="6"/>
      <c r="Q182" s="6">
        <v>0</v>
      </c>
      <c r="R182" s="6"/>
      <c r="S182" s="6">
        <v>0</v>
      </c>
      <c r="T182" s="6"/>
      <c r="U182" s="6">
        <v>0</v>
      </c>
      <c r="V182" s="6"/>
      <c r="W182" s="6">
        <v>0</v>
      </c>
      <c r="X182" s="6"/>
      <c r="Y182" s="6">
        <v>0</v>
      </c>
      <c r="Z182" s="6"/>
      <c r="AA182" s="6">
        <f t="shared" si="59"/>
        <v>0</v>
      </c>
      <c r="AB182" s="43">
        <f t="shared" si="59"/>
        <v>0</v>
      </c>
    </row>
    <row r="183" spans="1:28" ht="20.25" customHeight="1">
      <c r="B183" s="49"/>
      <c r="C183" s="6">
        <v>0</v>
      </c>
      <c r="D183" s="6"/>
      <c r="E183" s="6">
        <v>0</v>
      </c>
      <c r="F183" s="6"/>
      <c r="G183" s="6">
        <v>0</v>
      </c>
      <c r="H183" s="6"/>
      <c r="I183" s="6">
        <v>0</v>
      </c>
      <c r="J183" s="6"/>
      <c r="K183" s="6">
        <v>0</v>
      </c>
      <c r="L183" s="6"/>
      <c r="M183" s="6">
        <v>0</v>
      </c>
      <c r="N183" s="6"/>
      <c r="O183" s="6">
        <v>0</v>
      </c>
      <c r="P183" s="6"/>
      <c r="Q183" s="6">
        <v>0</v>
      </c>
      <c r="R183" s="6"/>
      <c r="S183" s="6">
        <v>0</v>
      </c>
      <c r="T183" s="6"/>
      <c r="U183" s="6">
        <v>0</v>
      </c>
      <c r="V183" s="6"/>
      <c r="W183" s="6">
        <v>0</v>
      </c>
      <c r="X183" s="6"/>
      <c r="Y183" s="6">
        <v>0</v>
      </c>
      <c r="Z183" s="6"/>
      <c r="AA183" s="6">
        <f t="shared" si="59"/>
        <v>0</v>
      </c>
      <c r="AB183" s="43">
        <f t="shared" si="59"/>
        <v>0</v>
      </c>
    </row>
    <row r="184" spans="1:28" ht="20.25" customHeight="1">
      <c r="B184" s="49"/>
      <c r="C184" s="6">
        <v>0</v>
      </c>
      <c r="D184" s="6"/>
      <c r="E184" s="6">
        <v>0</v>
      </c>
      <c r="F184" s="6"/>
      <c r="G184" s="6">
        <v>0</v>
      </c>
      <c r="H184" s="6"/>
      <c r="I184" s="6">
        <v>0</v>
      </c>
      <c r="J184" s="6"/>
      <c r="K184" s="6">
        <v>0</v>
      </c>
      <c r="L184" s="6"/>
      <c r="M184" s="6">
        <v>0</v>
      </c>
      <c r="N184" s="6"/>
      <c r="O184" s="6">
        <v>0</v>
      </c>
      <c r="P184" s="6"/>
      <c r="Q184" s="6">
        <v>0</v>
      </c>
      <c r="R184" s="6"/>
      <c r="S184" s="6">
        <v>0</v>
      </c>
      <c r="T184" s="6"/>
      <c r="U184" s="6">
        <v>0</v>
      </c>
      <c r="V184" s="6"/>
      <c r="W184" s="6">
        <v>0</v>
      </c>
      <c r="X184" s="6"/>
      <c r="Y184" s="6">
        <v>0</v>
      </c>
      <c r="Z184" s="6"/>
      <c r="AA184" s="6">
        <f t="shared" si="59"/>
        <v>0</v>
      </c>
      <c r="AB184" s="43">
        <f t="shared" si="59"/>
        <v>0</v>
      </c>
    </row>
    <row r="185" spans="1:28" ht="20.25" customHeight="1">
      <c r="B185" s="49"/>
      <c r="C185" s="6">
        <v>0</v>
      </c>
      <c r="D185" s="6"/>
      <c r="E185" s="6">
        <v>0</v>
      </c>
      <c r="F185" s="6"/>
      <c r="G185" s="6">
        <v>0</v>
      </c>
      <c r="H185" s="6"/>
      <c r="I185" s="6">
        <v>0</v>
      </c>
      <c r="J185" s="6"/>
      <c r="K185" s="6">
        <v>0</v>
      </c>
      <c r="L185" s="6"/>
      <c r="M185" s="6">
        <v>0</v>
      </c>
      <c r="N185" s="6"/>
      <c r="O185" s="6">
        <v>0</v>
      </c>
      <c r="P185" s="6"/>
      <c r="Q185" s="6">
        <v>0</v>
      </c>
      <c r="R185" s="6"/>
      <c r="S185" s="6">
        <v>0</v>
      </c>
      <c r="T185" s="6"/>
      <c r="U185" s="6">
        <v>0</v>
      </c>
      <c r="V185" s="6"/>
      <c r="W185" s="6">
        <v>0</v>
      </c>
      <c r="X185" s="6"/>
      <c r="Y185" s="6">
        <v>0</v>
      </c>
      <c r="Z185" s="6"/>
      <c r="AA185" s="6">
        <f t="shared" si="59"/>
        <v>0</v>
      </c>
      <c r="AB185" s="43">
        <f t="shared" si="59"/>
        <v>0</v>
      </c>
    </row>
    <row r="186" spans="1:28" ht="20.25" customHeight="1">
      <c r="B186" s="49"/>
      <c r="C186" s="6">
        <v>0</v>
      </c>
      <c r="D186" s="6"/>
      <c r="E186" s="6">
        <v>0</v>
      </c>
      <c r="F186" s="6"/>
      <c r="G186" s="6">
        <v>0</v>
      </c>
      <c r="H186" s="6"/>
      <c r="I186" s="6">
        <v>0</v>
      </c>
      <c r="J186" s="6"/>
      <c r="K186" s="6">
        <v>0</v>
      </c>
      <c r="L186" s="6"/>
      <c r="M186" s="6">
        <v>0</v>
      </c>
      <c r="N186" s="6"/>
      <c r="O186" s="6">
        <v>0</v>
      </c>
      <c r="P186" s="6"/>
      <c r="Q186" s="6">
        <v>0</v>
      </c>
      <c r="R186" s="6"/>
      <c r="S186" s="6">
        <v>0</v>
      </c>
      <c r="T186" s="6"/>
      <c r="U186" s="6">
        <v>0</v>
      </c>
      <c r="V186" s="6"/>
      <c r="W186" s="6">
        <v>0</v>
      </c>
      <c r="X186" s="6"/>
      <c r="Y186" s="6">
        <v>0</v>
      </c>
      <c r="Z186" s="6"/>
      <c r="AA186" s="6">
        <f t="shared" si="59"/>
        <v>0</v>
      </c>
      <c r="AB186" s="43">
        <f t="shared" si="59"/>
        <v>0</v>
      </c>
    </row>
    <row r="187" spans="1:28" ht="20.25" customHeight="1">
      <c r="B187" s="49"/>
      <c r="C187" s="6">
        <v>0</v>
      </c>
      <c r="D187" s="6"/>
      <c r="E187" s="6">
        <v>0</v>
      </c>
      <c r="F187" s="6"/>
      <c r="G187" s="6">
        <v>0</v>
      </c>
      <c r="H187" s="6"/>
      <c r="I187" s="6">
        <v>0</v>
      </c>
      <c r="J187" s="6"/>
      <c r="K187" s="6">
        <v>0</v>
      </c>
      <c r="L187" s="6"/>
      <c r="M187" s="6">
        <v>0</v>
      </c>
      <c r="N187" s="6"/>
      <c r="O187" s="6">
        <v>0</v>
      </c>
      <c r="P187" s="6"/>
      <c r="Q187" s="6">
        <v>0</v>
      </c>
      <c r="R187" s="6"/>
      <c r="S187" s="6">
        <v>0</v>
      </c>
      <c r="T187" s="6"/>
      <c r="U187" s="6">
        <v>0</v>
      </c>
      <c r="V187" s="6"/>
      <c r="W187" s="6">
        <v>0</v>
      </c>
      <c r="X187" s="6"/>
      <c r="Y187" s="6">
        <v>0</v>
      </c>
      <c r="Z187" s="6"/>
      <c r="AA187" s="6">
        <f t="shared" si="59"/>
        <v>0</v>
      </c>
      <c r="AB187" s="43">
        <f t="shared" si="59"/>
        <v>0</v>
      </c>
    </row>
    <row r="188" spans="1:28" ht="20.25" customHeight="1">
      <c r="B188" s="49"/>
      <c r="C188" s="6">
        <v>0</v>
      </c>
      <c r="D188" s="6"/>
      <c r="E188" s="6">
        <v>0</v>
      </c>
      <c r="F188" s="6"/>
      <c r="G188" s="6">
        <v>0</v>
      </c>
      <c r="H188" s="6"/>
      <c r="I188" s="6">
        <v>0</v>
      </c>
      <c r="J188" s="6"/>
      <c r="K188" s="6">
        <v>0</v>
      </c>
      <c r="L188" s="6"/>
      <c r="M188" s="6">
        <v>0</v>
      </c>
      <c r="N188" s="6"/>
      <c r="O188" s="6">
        <v>0</v>
      </c>
      <c r="P188" s="6"/>
      <c r="Q188" s="6">
        <v>0</v>
      </c>
      <c r="R188" s="6"/>
      <c r="S188" s="6">
        <v>0</v>
      </c>
      <c r="T188" s="6"/>
      <c r="U188" s="6">
        <v>0</v>
      </c>
      <c r="V188" s="6"/>
      <c r="W188" s="6">
        <v>0</v>
      </c>
      <c r="X188" s="6"/>
      <c r="Y188" s="6">
        <v>0</v>
      </c>
      <c r="Z188" s="6"/>
      <c r="AA188" s="6">
        <f t="shared" si="59"/>
        <v>0</v>
      </c>
      <c r="AB188" s="43">
        <f t="shared" si="59"/>
        <v>0</v>
      </c>
    </row>
    <row r="189" spans="1:28" ht="20.25" customHeight="1">
      <c r="B189" s="49"/>
      <c r="C189" s="6">
        <v>0</v>
      </c>
      <c r="D189" s="6"/>
      <c r="E189" s="6">
        <v>0</v>
      </c>
      <c r="F189" s="6"/>
      <c r="G189" s="6">
        <v>0</v>
      </c>
      <c r="H189" s="6"/>
      <c r="I189" s="6">
        <v>0</v>
      </c>
      <c r="J189" s="6"/>
      <c r="K189" s="6">
        <v>0</v>
      </c>
      <c r="L189" s="6"/>
      <c r="M189" s="6">
        <v>0</v>
      </c>
      <c r="N189" s="6"/>
      <c r="O189" s="6">
        <v>0</v>
      </c>
      <c r="P189" s="6"/>
      <c r="Q189" s="6">
        <v>0</v>
      </c>
      <c r="R189" s="6"/>
      <c r="S189" s="6">
        <v>0</v>
      </c>
      <c r="T189" s="6"/>
      <c r="U189" s="6">
        <v>0</v>
      </c>
      <c r="V189" s="6"/>
      <c r="W189" s="6">
        <v>0</v>
      </c>
      <c r="X189" s="6"/>
      <c r="Y189" s="6">
        <v>0</v>
      </c>
      <c r="Z189" s="6"/>
      <c r="AA189" s="6">
        <f t="shared" si="59"/>
        <v>0</v>
      </c>
      <c r="AB189" s="43">
        <f t="shared" si="59"/>
        <v>0</v>
      </c>
    </row>
    <row r="190" spans="1:28" ht="20.25" customHeight="1">
      <c r="B190" s="49"/>
      <c r="C190" s="6">
        <v>0</v>
      </c>
      <c r="D190" s="6"/>
      <c r="E190" s="6">
        <v>0</v>
      </c>
      <c r="F190" s="6"/>
      <c r="G190" s="6">
        <v>0</v>
      </c>
      <c r="H190" s="6"/>
      <c r="I190" s="6">
        <v>0</v>
      </c>
      <c r="J190" s="6"/>
      <c r="K190" s="6">
        <v>0</v>
      </c>
      <c r="L190" s="6"/>
      <c r="M190" s="6">
        <v>0</v>
      </c>
      <c r="N190" s="6"/>
      <c r="O190" s="6">
        <v>0</v>
      </c>
      <c r="P190" s="6"/>
      <c r="Q190" s="6">
        <v>0</v>
      </c>
      <c r="R190" s="6"/>
      <c r="S190" s="6">
        <v>0</v>
      </c>
      <c r="T190" s="6"/>
      <c r="U190" s="6">
        <v>0</v>
      </c>
      <c r="V190" s="6"/>
      <c r="W190" s="6">
        <v>0</v>
      </c>
      <c r="X190" s="6"/>
      <c r="Y190" s="6">
        <v>0</v>
      </c>
      <c r="Z190" s="6"/>
      <c r="AA190" s="6">
        <f t="shared" si="59"/>
        <v>0</v>
      </c>
      <c r="AB190" s="43">
        <f t="shared" si="59"/>
        <v>0</v>
      </c>
    </row>
    <row r="191" spans="1:28" ht="20.25" customHeight="1">
      <c r="B191" s="49"/>
      <c r="C191" s="6">
        <v>0</v>
      </c>
      <c r="D191" s="6"/>
      <c r="E191" s="6">
        <v>0</v>
      </c>
      <c r="F191" s="6"/>
      <c r="G191" s="6">
        <v>0</v>
      </c>
      <c r="H191" s="6"/>
      <c r="I191" s="6">
        <v>0</v>
      </c>
      <c r="J191" s="6"/>
      <c r="K191" s="6">
        <v>0</v>
      </c>
      <c r="L191" s="6"/>
      <c r="M191" s="6">
        <v>0</v>
      </c>
      <c r="N191" s="6"/>
      <c r="O191" s="6">
        <v>0</v>
      </c>
      <c r="P191" s="6"/>
      <c r="Q191" s="6">
        <v>0</v>
      </c>
      <c r="R191" s="6"/>
      <c r="S191" s="6">
        <v>0</v>
      </c>
      <c r="T191" s="6"/>
      <c r="U191" s="6">
        <v>0</v>
      </c>
      <c r="V191" s="6"/>
      <c r="W191" s="6">
        <v>0</v>
      </c>
      <c r="X191" s="6"/>
      <c r="Y191" s="6">
        <v>0</v>
      </c>
      <c r="Z191" s="6"/>
      <c r="AA191" s="6">
        <f t="shared" si="59"/>
        <v>0</v>
      </c>
      <c r="AB191" s="43">
        <f t="shared" si="59"/>
        <v>0</v>
      </c>
    </row>
    <row r="192" spans="1:28" ht="20.25" customHeight="1">
      <c r="A192" s="64" t="s">
        <v>216</v>
      </c>
      <c r="B192" s="7"/>
      <c r="C192" s="8">
        <f t="shared" ref="C192:AB192" si="60">SUM(C170:C191)</f>
        <v>0</v>
      </c>
      <c r="D192" s="8">
        <f t="shared" si="60"/>
        <v>558000</v>
      </c>
      <c r="E192" s="8">
        <f t="shared" si="60"/>
        <v>0</v>
      </c>
      <c r="F192" s="8">
        <f t="shared" si="60"/>
        <v>558000</v>
      </c>
      <c r="G192" s="8">
        <f t="shared" si="60"/>
        <v>0</v>
      </c>
      <c r="H192" s="8">
        <f t="shared" si="60"/>
        <v>558000</v>
      </c>
      <c r="I192" s="8">
        <f t="shared" si="60"/>
        <v>0</v>
      </c>
      <c r="J192" s="8">
        <f t="shared" si="60"/>
        <v>588000</v>
      </c>
      <c r="K192" s="8">
        <f t="shared" si="60"/>
        <v>0</v>
      </c>
      <c r="L192" s="8">
        <f t="shared" si="60"/>
        <v>558000</v>
      </c>
      <c r="M192" s="8">
        <f t="shared" si="60"/>
        <v>0</v>
      </c>
      <c r="N192" s="8">
        <f t="shared" si="60"/>
        <v>558000</v>
      </c>
      <c r="O192" s="8">
        <f t="shared" si="60"/>
        <v>0</v>
      </c>
      <c r="P192" s="8">
        <f t="shared" si="60"/>
        <v>558000</v>
      </c>
      <c r="Q192" s="8">
        <f t="shared" si="60"/>
        <v>0</v>
      </c>
      <c r="R192" s="8">
        <f t="shared" si="60"/>
        <v>558000</v>
      </c>
      <c r="S192" s="8">
        <f t="shared" si="60"/>
        <v>0</v>
      </c>
      <c r="T192" s="8">
        <f t="shared" si="60"/>
        <v>558000</v>
      </c>
      <c r="U192" s="8">
        <f t="shared" si="60"/>
        <v>0</v>
      </c>
      <c r="V192" s="8">
        <f t="shared" si="60"/>
        <v>558000</v>
      </c>
      <c r="W192" s="8">
        <f t="shared" si="60"/>
        <v>0</v>
      </c>
      <c r="X192" s="8">
        <f t="shared" si="60"/>
        <v>558000</v>
      </c>
      <c r="Y192" s="8">
        <f t="shared" si="60"/>
        <v>0</v>
      </c>
      <c r="Z192" s="8">
        <f t="shared" si="60"/>
        <v>558000</v>
      </c>
      <c r="AA192" s="8">
        <f t="shared" si="60"/>
        <v>0</v>
      </c>
      <c r="AB192" s="61">
        <f t="shared" si="60"/>
        <v>6726000</v>
      </c>
    </row>
    <row r="193" spans="1:28" ht="31.9" hidden="1" customHeight="1">
      <c r="A193" s="66" t="s">
        <v>217</v>
      </c>
      <c r="B193" s="50"/>
      <c r="C193" s="29" t="s">
        <v>3</v>
      </c>
      <c r="D193" s="29"/>
      <c r="E193" s="29" t="s">
        <v>4</v>
      </c>
      <c r="F193" s="29"/>
      <c r="G193" s="29" t="s">
        <v>5</v>
      </c>
      <c r="H193" s="29"/>
      <c r="I193" s="29" t="s">
        <v>6</v>
      </c>
      <c r="J193" s="29"/>
      <c r="K193" s="29" t="s">
        <v>7</v>
      </c>
      <c r="L193" s="29"/>
      <c r="M193" s="29" t="s">
        <v>8</v>
      </c>
      <c r="N193" s="29"/>
      <c r="O193" s="29" t="s">
        <v>9</v>
      </c>
      <c r="P193" s="29"/>
      <c r="Q193" s="29" t="s">
        <v>10</v>
      </c>
      <c r="R193" s="29"/>
      <c r="S193" s="10" t="s">
        <v>11</v>
      </c>
      <c r="T193" s="10"/>
      <c r="U193" s="10" t="s">
        <v>12</v>
      </c>
      <c r="V193" s="10"/>
      <c r="W193" s="10" t="s">
        <v>13</v>
      </c>
      <c r="X193" s="10"/>
      <c r="Y193" s="10" t="s">
        <v>14</v>
      </c>
      <c r="Z193" s="10"/>
      <c r="AA193" s="10" t="s">
        <v>37</v>
      </c>
      <c r="AB193" s="9"/>
    </row>
    <row r="194" spans="1:28" ht="20.25" hidden="1" customHeight="1">
      <c r="A194" s="47" t="s">
        <v>218</v>
      </c>
      <c r="C194" s="6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f>C194+E194+G194+I194+K194+M194</f>
        <v>0</v>
      </c>
      <c r="AB194" s="9"/>
    </row>
    <row r="195" spans="1:28" ht="20.25" hidden="1" customHeight="1">
      <c r="A195" s="64" t="s">
        <v>208</v>
      </c>
      <c r="B195" s="7"/>
      <c r="C195" s="8">
        <f t="shared" ref="C195:AA195" si="61">SUM(C194:C194)</f>
        <v>0</v>
      </c>
      <c r="D195" s="8"/>
      <c r="E195" s="8">
        <f t="shared" si="61"/>
        <v>0</v>
      </c>
      <c r="F195" s="8"/>
      <c r="G195" s="8">
        <f t="shared" si="61"/>
        <v>0</v>
      </c>
      <c r="H195" s="8"/>
      <c r="I195" s="8">
        <f t="shared" si="61"/>
        <v>0</v>
      </c>
      <c r="J195" s="8"/>
      <c r="K195" s="8">
        <f t="shared" si="61"/>
        <v>0</v>
      </c>
      <c r="L195" s="8"/>
      <c r="M195" s="8">
        <f t="shared" si="61"/>
        <v>0</v>
      </c>
      <c r="N195" s="8"/>
      <c r="O195" s="8">
        <f t="shared" si="61"/>
        <v>0</v>
      </c>
      <c r="P195" s="8"/>
      <c r="Q195" s="8">
        <f t="shared" si="61"/>
        <v>0</v>
      </c>
      <c r="R195" s="8"/>
      <c r="S195" s="8">
        <f t="shared" si="61"/>
        <v>0</v>
      </c>
      <c r="T195" s="8"/>
      <c r="U195" s="8">
        <f t="shared" si="61"/>
        <v>0</v>
      </c>
      <c r="V195" s="8"/>
      <c r="W195" s="8">
        <f t="shared" si="61"/>
        <v>0</v>
      </c>
      <c r="X195" s="8"/>
      <c r="Y195" s="8">
        <f t="shared" si="61"/>
        <v>0</v>
      </c>
      <c r="Z195" s="8"/>
      <c r="AA195" s="8">
        <f t="shared" si="61"/>
        <v>0</v>
      </c>
      <c r="AB195" s="9"/>
    </row>
    <row r="196" spans="1:28" ht="20.25" customHeight="1">
      <c r="A196" s="69" t="s">
        <v>219</v>
      </c>
      <c r="B196" s="53"/>
      <c r="C196" s="12" t="e">
        <f t="shared" ref="C196:AB196" si="62">C21+C30+C39+C42+C52+C78+C102+C128+C135+C142+C159+C167+C192+C195</f>
        <v>#REF!</v>
      </c>
      <c r="D196" s="12">
        <f t="shared" si="62"/>
        <v>3396643.26</v>
      </c>
      <c r="E196" s="12" t="e">
        <f t="shared" si="62"/>
        <v>#REF!</v>
      </c>
      <c r="F196" s="12">
        <f t="shared" si="62"/>
        <v>3396643.26</v>
      </c>
      <c r="G196" s="12" t="e">
        <f t="shared" si="62"/>
        <v>#REF!</v>
      </c>
      <c r="H196" s="12">
        <f t="shared" si="62"/>
        <v>3405009.5130000003</v>
      </c>
      <c r="I196" s="12" t="e">
        <f t="shared" si="62"/>
        <v>#REF!</v>
      </c>
      <c r="J196" s="12">
        <f t="shared" si="62"/>
        <v>3088438.7029999997</v>
      </c>
      <c r="K196" s="12" t="e">
        <f t="shared" si="62"/>
        <v>#REF!</v>
      </c>
      <c r="L196" s="12">
        <f t="shared" si="62"/>
        <v>3055246.2563999998</v>
      </c>
      <c r="M196" s="12" t="e">
        <f t="shared" si="62"/>
        <v>#REF!</v>
      </c>
      <c r="N196" s="12">
        <f t="shared" si="62"/>
        <v>3055546.2563999998</v>
      </c>
      <c r="O196" s="12" t="e">
        <f t="shared" si="62"/>
        <v>#REF!</v>
      </c>
      <c r="P196" s="12">
        <f t="shared" si="62"/>
        <v>3055572.4863999998</v>
      </c>
      <c r="Q196" s="12" t="e">
        <f t="shared" si="62"/>
        <v>#REF!</v>
      </c>
      <c r="R196" s="12">
        <f t="shared" si="62"/>
        <v>3059330.5464000003</v>
      </c>
      <c r="S196" s="12" t="e">
        <f t="shared" si="62"/>
        <v>#REF!</v>
      </c>
      <c r="T196" s="12">
        <f t="shared" si="62"/>
        <v>3080611.3163999999</v>
      </c>
      <c r="U196" s="12" t="e">
        <f t="shared" si="62"/>
        <v>#REF!</v>
      </c>
      <c r="V196" s="12">
        <f t="shared" si="62"/>
        <v>2890444.6564000002</v>
      </c>
      <c r="W196" s="12" t="e">
        <f t="shared" si="62"/>
        <v>#REF!</v>
      </c>
      <c r="X196" s="12">
        <f t="shared" si="62"/>
        <v>2912181.2764000003</v>
      </c>
      <c r="Y196" s="12" t="e">
        <f t="shared" si="62"/>
        <v>#REF!</v>
      </c>
      <c r="Z196" s="12">
        <f t="shared" si="62"/>
        <v>2890444.6564000002</v>
      </c>
      <c r="AA196" s="12" t="e">
        <f t="shared" si="62"/>
        <v>#REF!</v>
      </c>
      <c r="AB196" s="12">
        <f t="shared" si="62"/>
        <v>37286112.187199995</v>
      </c>
    </row>
    <row r="197" spans="1:28">
      <c r="A197" s="58"/>
      <c r="B197" s="51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83"/>
      <c r="AB197" s="9"/>
    </row>
    <row r="198" spans="1:28" ht="31.9" customHeight="1">
      <c r="A198" s="70" t="s">
        <v>220</v>
      </c>
      <c r="B198" s="17"/>
      <c r="C198" s="18" t="e">
        <f>(#REF!-DESPESAS!C196)+C142+C192</f>
        <v>#REF!</v>
      </c>
      <c r="D198" s="18"/>
      <c r="E198" s="18" t="e">
        <f>(#REF!-DESPESAS!E196)+E142+E192</f>
        <v>#REF!</v>
      </c>
      <c r="F198" s="18"/>
      <c r="G198" s="18" t="e">
        <f>(#REF!-DESPESAS!G196)+G142+G192</f>
        <v>#REF!</v>
      </c>
      <c r="H198" s="18"/>
      <c r="I198" s="18" t="e">
        <f>(#REF!-DESPESAS!I196)+I142+I192</f>
        <v>#REF!</v>
      </c>
      <c r="J198" s="18"/>
      <c r="K198" s="18" t="e">
        <f>(#REF!-DESPESAS!K196)+K142+K192</f>
        <v>#REF!</v>
      </c>
      <c r="L198" s="18"/>
      <c r="M198" s="18" t="e">
        <f>(#REF!-DESPESAS!M196)+M142+M192</f>
        <v>#REF!</v>
      </c>
      <c r="N198" s="18"/>
      <c r="O198" s="18" t="e">
        <f>(#REF!-DESPESAS!O196)+O142+O192</f>
        <v>#REF!</v>
      </c>
      <c r="P198" s="18"/>
      <c r="Q198" s="18" t="e">
        <f>(#REF!-DESPESAS!Q196)+Q142+Q192</f>
        <v>#REF!</v>
      </c>
      <c r="R198" s="18"/>
      <c r="S198" s="18" t="e">
        <f>(#REF!-DESPESAS!S196)+S142+S192</f>
        <v>#REF!</v>
      </c>
      <c r="T198" s="18"/>
      <c r="U198" s="18" t="e">
        <f>(#REF!-DESPESAS!U196)+U142+U192</f>
        <v>#REF!</v>
      </c>
      <c r="V198" s="18"/>
      <c r="W198" s="18" t="e">
        <f>(#REF!-DESPESAS!W196)+W142+W192</f>
        <v>#REF!</v>
      </c>
      <c r="X198" s="18"/>
      <c r="Y198" s="18" t="e">
        <f>(#REF!-DESPESAS!Y196)+Y142+Y192</f>
        <v>#REF!</v>
      </c>
      <c r="Z198" s="18"/>
      <c r="AA198" s="18" t="e">
        <f>(#REF!-DESPESAS!AA196)+AA142+AA192</f>
        <v>#REF!</v>
      </c>
      <c r="AB198" s="9"/>
    </row>
    <row r="199" spans="1:28" ht="13.9">
      <c r="A199" s="71"/>
      <c r="B199" s="54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84"/>
      <c r="AB199" s="9"/>
    </row>
    <row r="200" spans="1:28" ht="31.9" customHeight="1">
      <c r="A200" s="55" t="s">
        <v>221</v>
      </c>
      <c r="B200" s="55"/>
      <c r="C200" s="37" t="e">
        <f>(#REF!-DESPESAS!C196)+C167</f>
        <v>#REF!</v>
      </c>
      <c r="D200" s="37"/>
      <c r="E200" s="37" t="e">
        <f>(#REF!-DESPESAS!E196)+E167</f>
        <v>#REF!</v>
      </c>
      <c r="F200" s="37"/>
      <c r="G200" s="37" t="e">
        <f>(#REF!-DESPESAS!G196)+G167</f>
        <v>#REF!</v>
      </c>
      <c r="H200" s="37"/>
      <c r="I200" s="37" t="e">
        <f>(#REF!-DESPESAS!I196)+I167</f>
        <v>#REF!</v>
      </c>
      <c r="J200" s="37"/>
      <c r="K200" s="38" t="e">
        <f>(#REF!-DESPESAS!K196)+K167</f>
        <v>#REF!</v>
      </c>
      <c r="L200" s="38"/>
      <c r="M200" s="37" t="e">
        <f>(#REF!-DESPESAS!M196)+M167</f>
        <v>#REF!</v>
      </c>
      <c r="N200" s="37"/>
      <c r="O200" s="37" t="e">
        <f>(#REF!-DESPESAS!O196)+O167</f>
        <v>#REF!</v>
      </c>
      <c r="P200" s="37"/>
      <c r="Q200" s="37" t="e">
        <f>(#REF!-DESPESAS!Q196)+Q167</f>
        <v>#REF!</v>
      </c>
      <c r="R200" s="37"/>
      <c r="S200" s="37" t="e">
        <f>(#REF!-DESPESAS!S196)+S167</f>
        <v>#REF!</v>
      </c>
      <c r="T200" s="37"/>
      <c r="U200" s="37" t="e">
        <f>(#REF!-DESPESAS!U196)+U167</f>
        <v>#REF!</v>
      </c>
      <c r="V200" s="37"/>
      <c r="W200" s="37" t="e">
        <f>(#REF!-DESPESAS!W196)+W167</f>
        <v>#REF!</v>
      </c>
      <c r="X200" s="37"/>
      <c r="Y200" s="37" t="e">
        <f>(#REF!-DESPESAS!Y196)+Y167</f>
        <v>#REF!</v>
      </c>
      <c r="Z200" s="37"/>
      <c r="AA200" s="37" t="e">
        <f>(#REF!-DESPESAS!AA196)+AA167</f>
        <v>#REF!</v>
      </c>
      <c r="AB200" s="9"/>
    </row>
    <row r="201" spans="1:28" ht="13.9" hidden="1">
      <c r="A201" s="72"/>
      <c r="B201" s="56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6"/>
    </row>
    <row r="202" spans="1:28" ht="31.9" hidden="1" customHeight="1">
      <c r="A202" s="70" t="s">
        <v>222</v>
      </c>
      <c r="B202" s="17"/>
      <c r="C202" s="44" t="e">
        <f>#REF!-C196</f>
        <v>#REF!</v>
      </c>
      <c r="D202" s="18"/>
      <c r="E202" s="18" t="e">
        <f>#REF!-E196</f>
        <v>#REF!</v>
      </c>
      <c r="F202" s="18"/>
      <c r="G202" s="18" t="e">
        <f>#REF!-G196</f>
        <v>#REF!</v>
      </c>
      <c r="H202" s="18"/>
      <c r="I202" s="18" t="e">
        <f>#REF!-I196</f>
        <v>#REF!</v>
      </c>
      <c r="J202" s="18"/>
      <c r="K202" s="18" t="e">
        <f>#REF!-K196</f>
        <v>#REF!</v>
      </c>
      <c r="L202" s="18"/>
      <c r="M202" s="18" t="e">
        <f>#REF!-M196</f>
        <v>#REF!</v>
      </c>
      <c r="N202" s="18"/>
      <c r="O202" s="18" t="e">
        <f>#REF!-O196</f>
        <v>#REF!</v>
      </c>
      <c r="P202" s="18"/>
      <c r="Q202" s="18" t="e">
        <f>#REF!-Q196</f>
        <v>#REF!</v>
      </c>
      <c r="R202" s="18"/>
      <c r="S202" s="18" t="e">
        <f>#REF!-S196</f>
        <v>#REF!</v>
      </c>
      <c r="T202" s="18"/>
      <c r="U202" s="18" t="e">
        <f>#REF!-U196</f>
        <v>#REF!</v>
      </c>
      <c r="V202" s="18"/>
      <c r="W202" s="18" t="e">
        <f>#REF!-W196</f>
        <v>#REF!</v>
      </c>
      <c r="X202" s="18"/>
      <c r="Y202" s="18" t="e">
        <f>#REF!-Y196</f>
        <v>#REF!</v>
      </c>
      <c r="Z202" s="26"/>
      <c r="AA202" s="26" t="e">
        <f>#REF!-AA196</f>
        <v>#REF!</v>
      </c>
    </row>
    <row r="203" spans="1:28">
      <c r="A203" s="58"/>
      <c r="B203" s="5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8" hidden="1">
      <c r="A204" s="73" t="s">
        <v>223</v>
      </c>
      <c r="B204" s="57"/>
      <c r="C204" s="21">
        <v>42370</v>
      </c>
      <c r="D204" s="21"/>
      <c r="E204" s="21">
        <v>42430</v>
      </c>
      <c r="F204" s="21"/>
      <c r="G204" s="21">
        <v>42491</v>
      </c>
      <c r="H204" s="21"/>
      <c r="I204" s="21">
        <v>42552</v>
      </c>
      <c r="J204" s="21"/>
      <c r="K204" s="25" t="s">
        <v>37</v>
      </c>
      <c r="L204" s="25"/>
      <c r="M204" s="22"/>
      <c r="N204" s="22"/>
      <c r="O204" s="22"/>
      <c r="P204" s="22"/>
      <c r="Q204" s="22"/>
      <c r="R204" s="22"/>
      <c r="S204" s="23" t="s">
        <v>224</v>
      </c>
      <c r="T204" s="23"/>
    </row>
    <row r="205" spans="1:28" hidden="1">
      <c r="A205" s="58" t="s">
        <v>225</v>
      </c>
      <c r="B205" s="51"/>
      <c r="C205" s="19">
        <v>1295820.69</v>
      </c>
      <c r="D205" s="19"/>
      <c r="E205" s="19">
        <v>6299352.7999999998</v>
      </c>
      <c r="F205" s="19"/>
      <c r="G205" s="19">
        <v>2837503.38</v>
      </c>
      <c r="H205" s="19"/>
      <c r="I205" s="14">
        <v>3803490.39</v>
      </c>
      <c r="J205" s="14"/>
      <c r="K205" s="14">
        <f t="shared" ref="K205:K210" si="63">SUM(C205:I205)</f>
        <v>14236167.260000002</v>
      </c>
      <c r="L205" s="14"/>
      <c r="Q205" s="14"/>
      <c r="R205" s="14"/>
      <c r="S205" s="14">
        <f t="shared" ref="S205:S210" si="64">SUM(C205:Q205)</f>
        <v>28472334.520000003</v>
      </c>
      <c r="T205" s="14"/>
      <c r="AA205" s="14"/>
    </row>
    <row r="206" spans="1:28" hidden="1">
      <c r="A206" s="58" t="s">
        <v>226</v>
      </c>
      <c r="B206" s="51"/>
      <c r="C206" s="19">
        <v>1261418.67</v>
      </c>
      <c r="D206" s="19"/>
      <c r="E206" s="19">
        <v>1516142.37</v>
      </c>
      <c r="F206" s="19"/>
      <c r="G206" s="19">
        <v>27156.41</v>
      </c>
      <c r="H206" s="19"/>
      <c r="I206" s="14">
        <v>735312.9</v>
      </c>
      <c r="J206" s="14"/>
      <c r="K206" s="14">
        <f t="shared" si="63"/>
        <v>3540030.35</v>
      </c>
      <c r="L206" s="14"/>
      <c r="S206" s="14">
        <f t="shared" si="64"/>
        <v>7080060.7000000002</v>
      </c>
      <c r="T206" s="14"/>
    </row>
    <row r="207" spans="1:28" hidden="1">
      <c r="A207" s="58" t="s">
        <v>227</v>
      </c>
      <c r="B207" s="51"/>
      <c r="C207" s="20">
        <f>SUM(C205:C206)</f>
        <v>2557239.36</v>
      </c>
      <c r="D207" s="20"/>
      <c r="E207" s="20">
        <f>SUM(E205:E206)</f>
        <v>7815495.1699999999</v>
      </c>
      <c r="F207" s="20"/>
      <c r="G207" s="20">
        <f>SUM(G205:G206)</f>
        <v>2864659.79</v>
      </c>
      <c r="H207" s="20"/>
      <c r="I207" s="24">
        <f>I205+I206</f>
        <v>4538803.29</v>
      </c>
      <c r="J207" s="24"/>
      <c r="K207" s="24">
        <f t="shared" si="63"/>
        <v>17776197.609999999</v>
      </c>
      <c r="L207" s="24"/>
      <c r="S207" s="14">
        <f t="shared" si="64"/>
        <v>35552395.219999999</v>
      </c>
      <c r="T207" s="14"/>
    </row>
    <row r="208" spans="1:28" hidden="1">
      <c r="A208" s="58" t="s">
        <v>228</v>
      </c>
      <c r="B208" s="51"/>
      <c r="C208" s="19">
        <v>4747747.8600000003</v>
      </c>
      <c r="D208" s="19"/>
      <c r="E208" s="1">
        <v>0</v>
      </c>
      <c r="G208" s="19">
        <v>2142505.69</v>
      </c>
      <c r="H208" s="19"/>
      <c r="I208" s="14">
        <v>3077662.61</v>
      </c>
      <c r="J208" s="14"/>
      <c r="K208" s="14">
        <f t="shared" si="63"/>
        <v>9967916.1600000001</v>
      </c>
      <c r="L208" s="14"/>
      <c r="S208" s="14">
        <f t="shared" si="64"/>
        <v>19935832.32</v>
      </c>
      <c r="T208" s="14"/>
      <c r="AA208" s="14"/>
    </row>
    <row r="209" spans="1:27" hidden="1">
      <c r="A209" s="58" t="s">
        <v>229</v>
      </c>
      <c r="B209" s="51"/>
      <c r="C209" s="19">
        <v>1276534.22</v>
      </c>
      <c r="D209" s="19"/>
      <c r="E209" s="19">
        <v>3492791.77</v>
      </c>
      <c r="F209" s="19"/>
      <c r="G209" s="19">
        <v>672693.59</v>
      </c>
      <c r="H209" s="19"/>
      <c r="I209" s="14">
        <v>1315.73</v>
      </c>
      <c r="J209" s="14"/>
      <c r="K209" s="14">
        <f t="shared" si="63"/>
        <v>5443335.3100000005</v>
      </c>
      <c r="L209" s="14"/>
      <c r="S209" s="14">
        <f t="shared" si="64"/>
        <v>10886670.620000001</v>
      </c>
      <c r="T209" s="14"/>
      <c r="AA209" s="14"/>
    </row>
    <row r="210" spans="1:27" hidden="1">
      <c r="A210" s="58" t="s">
        <v>230</v>
      </c>
      <c r="B210" s="51"/>
      <c r="C210" s="19">
        <f>C205-C209</f>
        <v>19286.469999999972</v>
      </c>
      <c r="D210" s="19"/>
      <c r="E210" s="19">
        <f>E205-E209</f>
        <v>2806561.03</v>
      </c>
      <c r="F210" s="19"/>
      <c r="G210" s="19">
        <v>2164809.79</v>
      </c>
      <c r="H210" s="19"/>
      <c r="I210" s="14">
        <f>I205-I209</f>
        <v>3802174.66</v>
      </c>
      <c r="J210" s="14"/>
      <c r="K210" s="14">
        <f t="shared" si="63"/>
        <v>8792831.9499999993</v>
      </c>
      <c r="L210" s="14"/>
      <c r="S210" s="14">
        <f t="shared" si="64"/>
        <v>17585663.899999999</v>
      </c>
      <c r="T210" s="14"/>
      <c r="AA210" s="14"/>
    </row>
    <row r="211" spans="1:27">
      <c r="A211" s="58" t="s">
        <v>231</v>
      </c>
      <c r="B211" s="51"/>
      <c r="C211" s="19"/>
      <c r="D211" s="19"/>
    </row>
    <row r="212" spans="1:27">
      <c r="A212" s="58" t="s">
        <v>232</v>
      </c>
      <c r="B212" s="51"/>
      <c r="C212" s="30"/>
      <c r="D212" s="30"/>
      <c r="E212" s="30"/>
      <c r="F212" s="30"/>
      <c r="G212" s="30"/>
      <c r="H212" s="30"/>
    </row>
    <row r="213" spans="1:27">
      <c r="A213" s="58" t="s">
        <v>233</v>
      </c>
      <c r="B213" s="51"/>
      <c r="C213" s="30"/>
      <c r="D213" s="30"/>
      <c r="E213" s="30"/>
      <c r="F213" s="30"/>
      <c r="G213" s="30"/>
      <c r="H213" s="30"/>
    </row>
    <row r="214" spans="1:27">
      <c r="A214" s="58" t="s">
        <v>234</v>
      </c>
      <c r="B214" s="51"/>
      <c r="C214" s="30"/>
      <c r="D214" s="30"/>
      <c r="E214" s="30"/>
      <c r="F214" s="30"/>
      <c r="G214" s="30"/>
      <c r="H214" s="30"/>
    </row>
    <row r="215" spans="1:27">
      <c r="A215" s="58" t="s">
        <v>235</v>
      </c>
      <c r="B215" s="51"/>
      <c r="C215" s="30"/>
      <c r="D215" s="30"/>
      <c r="E215" s="30"/>
      <c r="F215" s="30"/>
      <c r="G215" s="30"/>
      <c r="H215" s="30"/>
    </row>
    <row r="216" spans="1:27" hidden="1">
      <c r="A216" s="58"/>
      <c r="B216" s="51"/>
      <c r="C216" s="30"/>
      <c r="D216" s="30"/>
      <c r="E216" s="30"/>
      <c r="F216" s="30"/>
      <c r="G216" s="30"/>
      <c r="H216" s="30"/>
    </row>
    <row r="217" spans="1:27">
      <c r="A217" s="58" t="s">
        <v>236</v>
      </c>
      <c r="B217" s="51"/>
      <c r="C217" s="30"/>
      <c r="D217" s="30"/>
      <c r="E217" s="30"/>
      <c r="F217" s="30"/>
      <c r="G217" s="30"/>
      <c r="H217" s="30"/>
    </row>
    <row r="218" spans="1:27">
      <c r="A218" s="58" t="s">
        <v>237</v>
      </c>
      <c r="B218" s="51"/>
      <c r="C218" s="30"/>
      <c r="D218" s="30"/>
      <c r="E218" s="30"/>
      <c r="F218" s="30"/>
      <c r="G218" s="30"/>
      <c r="H218" s="30"/>
    </row>
    <row r="219" spans="1:27">
      <c r="A219" s="58" t="s">
        <v>238</v>
      </c>
      <c r="B219" s="51"/>
      <c r="C219" s="30"/>
      <c r="D219" s="30"/>
      <c r="E219" s="30"/>
      <c r="F219" s="30"/>
      <c r="G219" s="30"/>
      <c r="H219" s="30"/>
    </row>
    <row r="220" spans="1:27">
      <c r="A220" s="58" t="s">
        <v>239</v>
      </c>
      <c r="B220" s="51"/>
      <c r="C220" s="30"/>
      <c r="D220" s="30"/>
      <c r="E220" s="30"/>
      <c r="F220" s="30"/>
      <c r="G220" s="30"/>
      <c r="H220" s="30"/>
    </row>
    <row r="221" spans="1:27">
      <c r="A221" s="58" t="s">
        <v>240</v>
      </c>
      <c r="B221" s="51"/>
      <c r="C221" s="30"/>
      <c r="D221" s="30"/>
      <c r="E221" s="30"/>
      <c r="F221" s="30"/>
      <c r="G221" s="30"/>
      <c r="H221" s="30"/>
    </row>
    <row r="222" spans="1:27">
      <c r="A222" s="58" t="s">
        <v>241</v>
      </c>
      <c r="B222" s="51"/>
      <c r="C222" s="30"/>
      <c r="D222" s="30"/>
      <c r="E222" s="30"/>
      <c r="F222" s="30"/>
      <c r="G222" s="30"/>
      <c r="H222" s="30"/>
    </row>
    <row r="223" spans="1:27">
      <c r="A223" s="58" t="s">
        <v>242</v>
      </c>
      <c r="B223" s="58"/>
      <c r="C223" s="31"/>
      <c r="D223" s="31"/>
      <c r="E223" s="31"/>
      <c r="F223" s="31"/>
      <c r="G223" s="31"/>
      <c r="H223" s="31"/>
      <c r="I223" s="4"/>
      <c r="J223" s="4"/>
      <c r="K223" s="4"/>
      <c r="L223" s="4"/>
      <c r="M223" s="4"/>
      <c r="N223" s="4"/>
      <c r="O223" s="4"/>
      <c r="P223" s="4"/>
    </row>
    <row r="224" spans="1:27">
      <c r="A224" s="58" t="s">
        <v>243</v>
      </c>
      <c r="B224" s="51"/>
      <c r="C224" s="31"/>
      <c r="D224" s="31"/>
      <c r="E224" s="31"/>
      <c r="F224" s="31"/>
      <c r="G224" s="31"/>
      <c r="H224" s="31"/>
      <c r="I224" s="4"/>
      <c r="J224" s="4"/>
      <c r="K224" s="4"/>
      <c r="L224" s="4"/>
      <c r="M224" s="4"/>
      <c r="N224" s="4"/>
      <c r="O224" s="4"/>
      <c r="P224" s="4"/>
    </row>
    <row r="225" spans="1:16">
      <c r="A225" s="58" t="s">
        <v>244</v>
      </c>
      <c r="B225" s="58"/>
      <c r="C225" s="31"/>
      <c r="D225" s="31"/>
      <c r="E225" s="31"/>
      <c r="F225" s="31"/>
      <c r="G225" s="31"/>
      <c r="H225" s="31"/>
      <c r="I225" s="4"/>
      <c r="J225" s="4"/>
      <c r="K225" s="4"/>
      <c r="L225" s="4"/>
      <c r="M225" s="4"/>
      <c r="N225" s="4"/>
      <c r="O225" s="4"/>
      <c r="P225" s="4"/>
    </row>
    <row r="226" spans="1:16">
      <c r="A226" s="58" t="s">
        <v>245</v>
      </c>
      <c r="B226" s="58"/>
      <c r="C226" s="31"/>
      <c r="D226" s="31"/>
      <c r="E226" s="31"/>
      <c r="F226" s="31"/>
      <c r="G226" s="31"/>
      <c r="H226" s="31"/>
      <c r="I226" s="4"/>
      <c r="J226" s="4"/>
      <c r="K226" s="4"/>
      <c r="L226" s="4"/>
      <c r="M226" s="4"/>
      <c r="N226" s="4"/>
      <c r="O226" s="4"/>
      <c r="P226" s="4"/>
    </row>
    <row r="227" spans="1:16">
      <c r="A227" s="58" t="s">
        <v>246</v>
      </c>
      <c r="B227" s="59"/>
      <c r="C227" s="30"/>
      <c r="D227" s="30"/>
      <c r="E227" s="30"/>
      <c r="F227" s="30"/>
      <c r="G227" s="30"/>
      <c r="H227" s="30"/>
    </row>
    <row r="228" spans="1:16">
      <c r="A228" s="65"/>
      <c r="B228" s="48"/>
      <c r="C228" s="30"/>
      <c r="D228" s="30"/>
      <c r="E228" s="30"/>
      <c r="F228" s="30"/>
      <c r="G228" s="30"/>
      <c r="H228" s="30"/>
    </row>
    <row r="229" spans="1:16">
      <c r="A229" s="65"/>
      <c r="B229" s="48"/>
      <c r="C229" s="30"/>
      <c r="D229" s="30"/>
      <c r="E229" s="30"/>
      <c r="F229" s="30"/>
      <c r="G229" s="30"/>
      <c r="H229" s="30"/>
    </row>
    <row r="230" spans="1:16">
      <c r="A230" s="58"/>
      <c r="B230" s="58"/>
      <c r="C230" s="30"/>
      <c r="D230" s="30"/>
      <c r="E230" s="30"/>
      <c r="F230" s="30"/>
      <c r="G230" s="30"/>
      <c r="H230" s="30"/>
    </row>
    <row r="231" spans="1:16">
      <c r="A231" s="65"/>
      <c r="B231" s="48"/>
      <c r="C231" s="30"/>
      <c r="D231" s="30"/>
      <c r="E231" s="30"/>
      <c r="F231" s="30"/>
      <c r="G231" s="30"/>
      <c r="H231" s="30"/>
    </row>
    <row r="232" spans="1:16">
      <c r="A232" s="65"/>
      <c r="B232" s="48"/>
      <c r="C232" s="30"/>
      <c r="D232" s="30"/>
      <c r="E232" s="30"/>
      <c r="F232" s="30"/>
      <c r="G232" s="30"/>
      <c r="H232" s="30"/>
    </row>
    <row r="233" spans="1:16">
      <c r="A233" s="65"/>
      <c r="B233" s="48"/>
      <c r="C233" s="30"/>
      <c r="D233" s="30"/>
      <c r="E233" s="30"/>
      <c r="F233" s="30"/>
      <c r="G233" s="30"/>
      <c r="H233" s="30"/>
    </row>
    <row r="234" spans="1:16">
      <c r="A234" s="65"/>
      <c r="B234" s="48"/>
      <c r="C234" s="30"/>
      <c r="D234" s="30"/>
      <c r="E234" s="30"/>
      <c r="F234" s="30"/>
      <c r="G234" s="30"/>
      <c r="H234" s="30"/>
    </row>
    <row r="235" spans="1:16">
      <c r="A235" s="65"/>
      <c r="B235" s="48"/>
      <c r="C235" s="30"/>
      <c r="D235" s="30"/>
      <c r="E235" s="30"/>
      <c r="F235" s="30"/>
      <c r="G235" s="30"/>
      <c r="H235" s="30"/>
    </row>
    <row r="236" spans="1:16">
      <c r="A236" s="65"/>
      <c r="B236" s="48"/>
      <c r="C236" s="30"/>
      <c r="D236" s="30"/>
      <c r="E236" s="30"/>
      <c r="F236" s="30"/>
      <c r="G236" s="30"/>
      <c r="H236" s="30"/>
    </row>
    <row r="237" spans="1:16">
      <c r="A237" s="65"/>
      <c r="B237" s="48"/>
      <c r="C237" s="30"/>
      <c r="D237" s="30"/>
      <c r="E237" s="30"/>
      <c r="F237" s="30"/>
      <c r="G237" s="30"/>
      <c r="H237" s="30"/>
    </row>
    <row r="238" spans="1:16">
      <c r="A238" s="58"/>
      <c r="B238" s="58"/>
      <c r="C238" s="30"/>
      <c r="D238" s="30"/>
      <c r="E238" s="30"/>
      <c r="F238" s="30"/>
      <c r="G238" s="30"/>
      <c r="H238" s="30"/>
    </row>
    <row r="239" spans="1:16">
      <c r="A239" s="65"/>
      <c r="B239" s="48"/>
      <c r="C239" s="30"/>
      <c r="D239" s="30"/>
      <c r="E239" s="30"/>
      <c r="F239" s="30"/>
      <c r="G239" s="30"/>
      <c r="H239" s="30"/>
    </row>
    <row r="240" spans="1:16">
      <c r="A240" s="65"/>
      <c r="B240" s="48"/>
      <c r="C240" s="30"/>
      <c r="D240" s="30"/>
      <c r="E240" s="30"/>
      <c r="F240" s="30"/>
      <c r="G240" s="30"/>
      <c r="H240" s="30"/>
    </row>
    <row r="241" spans="1:8">
      <c r="A241" s="58"/>
      <c r="B241" s="58"/>
      <c r="C241" s="30"/>
      <c r="D241" s="30"/>
      <c r="E241" s="30"/>
      <c r="F241" s="30"/>
      <c r="G241" s="30"/>
      <c r="H241" s="30"/>
    </row>
    <row r="242" spans="1:8">
      <c r="A242" s="65"/>
      <c r="B242" s="48"/>
      <c r="C242" s="30"/>
      <c r="D242" s="30"/>
      <c r="E242" s="30"/>
      <c r="F242" s="30"/>
      <c r="G242" s="30"/>
      <c r="H242" s="30"/>
    </row>
    <row r="243" spans="1:8">
      <c r="A243" s="65"/>
      <c r="B243" s="48"/>
      <c r="C243" s="30"/>
      <c r="D243" s="30"/>
      <c r="E243" s="30"/>
      <c r="F243" s="30"/>
      <c r="G243" s="30"/>
      <c r="H243" s="30"/>
    </row>
  </sheetData>
  <sortState xmlns:xlrd2="http://schemas.microsoft.com/office/spreadsheetml/2017/richdata2" ref="A161:AB166">
    <sortCondition ref="A161:A166"/>
  </sortState>
  <mergeCells count="2">
    <mergeCell ref="A1:AA1"/>
    <mergeCell ref="C2:AB2"/>
  </mergeCells>
  <pageMargins left="0.51181102362204722" right="0.51181102362204722" top="0.78740157480314965" bottom="0.78740157480314965" header="0.31496062992125984" footer="0.31496062992125984"/>
  <pageSetup paperSize="9" scale="1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64"/>
  <sheetViews>
    <sheetView topLeftCell="A3" zoomScale="85" zoomScaleNormal="85" workbookViewId="0">
      <pane ySplit="1" topLeftCell="B28" activePane="bottomLeft" state="frozen"/>
      <selection pane="bottomLeft" activeCell="C40" sqref="C40"/>
      <selection activeCell="B3" sqref="B3"/>
    </sheetView>
  </sheetViews>
  <sheetFormatPr defaultColWidth="9.140625" defaultRowHeight="14.45"/>
  <cols>
    <col min="1" max="1" width="9.140625" hidden="1" customWidth="1"/>
    <col min="2" max="2" width="59.140625" bestFit="1" customWidth="1"/>
    <col min="3" max="3" width="20.7109375" style="304" customWidth="1"/>
    <col min="4" max="4" width="20.7109375" style="288" customWidth="1"/>
    <col min="5" max="5" width="21" bestFit="1" customWidth="1"/>
    <col min="6" max="14" width="20.7109375" customWidth="1"/>
    <col min="15" max="15" width="22.42578125" bestFit="1" customWidth="1"/>
    <col min="16" max="16" width="14.85546875" bestFit="1" customWidth="1"/>
    <col min="17" max="17" width="20.42578125" bestFit="1" customWidth="1"/>
  </cols>
  <sheetData>
    <row r="1" spans="1:17" ht="27" hidden="1" customHeight="1">
      <c r="A1" s="436" t="s">
        <v>247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8"/>
    </row>
    <row r="2" spans="1:17" ht="27" hidden="1" customHeight="1">
      <c r="A2" s="209">
        <v>1</v>
      </c>
      <c r="B2" s="190" t="s">
        <v>248</v>
      </c>
      <c r="C2" s="291"/>
      <c r="D2" s="278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7" ht="27" customHeight="1">
      <c r="A3" s="191" t="s">
        <v>249</v>
      </c>
      <c r="B3" s="191" t="s">
        <v>250</v>
      </c>
      <c r="C3" s="279" t="s">
        <v>251</v>
      </c>
      <c r="D3" s="279" t="s">
        <v>252</v>
      </c>
      <c r="E3" s="192" t="s">
        <v>253</v>
      </c>
      <c r="F3" s="192" t="s">
        <v>254</v>
      </c>
      <c r="G3" s="192" t="s">
        <v>255</v>
      </c>
      <c r="H3" s="192" t="s">
        <v>256</v>
      </c>
      <c r="I3" s="192" t="s">
        <v>257</v>
      </c>
      <c r="J3" s="192" t="s">
        <v>258</v>
      </c>
      <c r="K3" s="192" t="s">
        <v>259</v>
      </c>
      <c r="L3" s="192" t="s">
        <v>260</v>
      </c>
      <c r="M3" s="192" t="s">
        <v>261</v>
      </c>
      <c r="N3" s="192" t="s">
        <v>262</v>
      </c>
      <c r="O3" s="192" t="s">
        <v>37</v>
      </c>
    </row>
    <row r="4" spans="1:17" ht="27" customHeight="1">
      <c r="A4" s="165" t="s">
        <v>263</v>
      </c>
      <c r="B4" s="360" t="s">
        <v>264</v>
      </c>
      <c r="C4" s="361">
        <v>13520299.34</v>
      </c>
      <c r="D4" s="361">
        <v>13520299.34</v>
      </c>
      <c r="E4" s="361">
        <v>13520299.34</v>
      </c>
      <c r="F4" s="361">
        <v>13520299.34</v>
      </c>
      <c r="G4" s="361">
        <v>13520299.34</v>
      </c>
      <c r="H4" s="361">
        <v>13520299.34</v>
      </c>
      <c r="I4" s="361">
        <v>13520299.34</v>
      </c>
      <c r="J4" s="361">
        <v>13520299.34</v>
      </c>
      <c r="K4" s="361">
        <v>13520299.34</v>
      </c>
      <c r="L4" s="361">
        <v>13520299.34</v>
      </c>
      <c r="M4" s="361">
        <v>13520299.34</v>
      </c>
      <c r="N4" s="361">
        <v>13520299.34</v>
      </c>
      <c r="O4" s="362">
        <f>SUM(C4:N4)</f>
        <v>162243592.08000001</v>
      </c>
    </row>
    <row r="5" spans="1:17" ht="27" customHeight="1">
      <c r="A5" s="165" t="s">
        <v>265</v>
      </c>
      <c r="B5" s="360" t="s">
        <v>266</v>
      </c>
      <c r="C5" s="361">
        <v>4830635.87</v>
      </c>
      <c r="D5" s="361">
        <v>4830635.87</v>
      </c>
      <c r="E5" s="361">
        <v>4830635.87</v>
      </c>
      <c r="F5" s="361">
        <v>4830635.87</v>
      </c>
      <c r="G5" s="361">
        <v>4830635.87</v>
      </c>
      <c r="H5" s="361">
        <v>4830635.87</v>
      </c>
      <c r="I5" s="361">
        <v>4830635.87</v>
      </c>
      <c r="J5" s="361">
        <v>4830635.87</v>
      </c>
      <c r="K5" s="361">
        <v>4830635.87</v>
      </c>
      <c r="L5" s="361">
        <v>4830635.87</v>
      </c>
      <c r="M5" s="361">
        <v>4830635.87</v>
      </c>
      <c r="N5" s="361">
        <v>4830635.87</v>
      </c>
      <c r="O5" s="362">
        <f t="shared" ref="O5:O6" si="0">SUM(C5:N5)</f>
        <v>57967630.43999999</v>
      </c>
    </row>
    <row r="6" spans="1:17" ht="27" customHeight="1">
      <c r="A6" s="165" t="s">
        <v>267</v>
      </c>
      <c r="B6" s="360" t="s">
        <v>268</v>
      </c>
      <c r="C6" s="361">
        <v>651180.65</v>
      </c>
      <c r="D6" s="361">
        <v>651180.65</v>
      </c>
      <c r="E6" s="361">
        <v>651180.65</v>
      </c>
      <c r="F6" s="361">
        <v>651180.65</v>
      </c>
      <c r="G6" s="361">
        <v>651180.65</v>
      </c>
      <c r="H6" s="361">
        <v>651180.65</v>
      </c>
      <c r="I6" s="361">
        <v>651180.65</v>
      </c>
      <c r="J6" s="361">
        <v>651180.65</v>
      </c>
      <c r="K6" s="361">
        <v>651180.65</v>
      </c>
      <c r="L6" s="361">
        <v>651180.65</v>
      </c>
      <c r="M6" s="361">
        <v>651180.65</v>
      </c>
      <c r="N6" s="361">
        <v>651180.65</v>
      </c>
      <c r="O6" s="362">
        <f t="shared" si="0"/>
        <v>7814167.8000000017</v>
      </c>
    </row>
    <row r="7" spans="1:17" ht="27" customHeight="1">
      <c r="A7" s="165" t="s">
        <v>269</v>
      </c>
      <c r="B7" s="215"/>
      <c r="C7" s="293"/>
      <c r="D7" s="280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362"/>
    </row>
    <row r="8" spans="1:17" ht="35.25" customHeight="1">
      <c r="A8" s="165" t="s">
        <v>270</v>
      </c>
      <c r="B8" s="173"/>
      <c r="C8" s="294"/>
      <c r="D8" s="281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362"/>
    </row>
    <row r="9" spans="1:17" ht="27" customHeight="1">
      <c r="A9" s="141"/>
      <c r="B9" s="194" t="s">
        <v>271</v>
      </c>
      <c r="C9" s="295">
        <f>SUM(C4:C8)</f>
        <v>19002115.859999999</v>
      </c>
      <c r="D9" s="295">
        <f t="shared" ref="D9:N9" si="1">SUM(D4:D8)</f>
        <v>19002115.859999999</v>
      </c>
      <c r="E9" s="295">
        <f t="shared" si="1"/>
        <v>19002115.859999999</v>
      </c>
      <c r="F9" s="295">
        <f t="shared" si="1"/>
        <v>19002115.859999999</v>
      </c>
      <c r="G9" s="295">
        <f t="shared" si="1"/>
        <v>19002115.859999999</v>
      </c>
      <c r="H9" s="295">
        <f t="shared" si="1"/>
        <v>19002115.859999999</v>
      </c>
      <c r="I9" s="295">
        <f t="shared" si="1"/>
        <v>19002115.859999999</v>
      </c>
      <c r="J9" s="295">
        <f t="shared" si="1"/>
        <v>19002115.859999999</v>
      </c>
      <c r="K9" s="295">
        <f t="shared" si="1"/>
        <v>19002115.859999999</v>
      </c>
      <c r="L9" s="295">
        <f t="shared" si="1"/>
        <v>19002115.859999999</v>
      </c>
      <c r="M9" s="295">
        <f t="shared" si="1"/>
        <v>19002115.859999999</v>
      </c>
      <c r="N9" s="295">
        <f t="shared" si="1"/>
        <v>19002115.859999999</v>
      </c>
      <c r="O9" s="195">
        <f>SUM(C9:N9)</f>
        <v>228025390.32000005</v>
      </c>
    </row>
    <row r="10" spans="1:17" ht="27" customHeight="1">
      <c r="A10" s="191" t="s">
        <v>272</v>
      </c>
      <c r="B10" s="191" t="s">
        <v>273</v>
      </c>
      <c r="C10" s="292" t="s">
        <v>251</v>
      </c>
      <c r="D10" s="279" t="s">
        <v>252</v>
      </c>
      <c r="E10" s="192" t="s">
        <v>253</v>
      </c>
      <c r="F10" s="192" t="s">
        <v>254</v>
      </c>
      <c r="G10" s="192" t="s">
        <v>255</v>
      </c>
      <c r="H10" s="192" t="s">
        <v>256</v>
      </c>
      <c r="I10" s="192" t="s">
        <v>257</v>
      </c>
      <c r="J10" s="192" t="s">
        <v>258</v>
      </c>
      <c r="K10" s="192" t="s">
        <v>259</v>
      </c>
      <c r="L10" s="192" t="s">
        <v>260</v>
      </c>
      <c r="M10" s="192" t="s">
        <v>261</v>
      </c>
      <c r="N10" s="192" t="s">
        <v>262</v>
      </c>
      <c r="O10" s="192" t="s">
        <v>37</v>
      </c>
    </row>
    <row r="11" spans="1:17" ht="27" customHeight="1">
      <c r="A11" s="165" t="s">
        <v>274</v>
      </c>
      <c r="B11" s="360" t="s">
        <v>275</v>
      </c>
      <c r="C11" s="361">
        <v>2522773.25</v>
      </c>
      <c r="D11" s="361">
        <v>2522773.25</v>
      </c>
      <c r="E11" s="361">
        <v>2522773.25</v>
      </c>
      <c r="F11" s="361">
        <v>2522773.25</v>
      </c>
      <c r="G11" s="361">
        <v>2522773.25</v>
      </c>
      <c r="H11" s="361">
        <v>2522773.25</v>
      </c>
      <c r="I11" s="361">
        <v>2522773.25</v>
      </c>
      <c r="J11" s="361">
        <v>2522773.25</v>
      </c>
      <c r="K11" s="361">
        <v>2522773.25</v>
      </c>
      <c r="L11" s="361">
        <v>2522773.25</v>
      </c>
      <c r="M11" s="361">
        <v>2522773.25</v>
      </c>
      <c r="N11" s="361">
        <v>2522773.25</v>
      </c>
      <c r="O11" s="367">
        <f t="shared" ref="O11" si="2">SUM(C11:N11)</f>
        <v>30273279</v>
      </c>
    </row>
    <row r="12" spans="1:17" ht="27" customHeight="1">
      <c r="A12" s="141"/>
      <c r="B12" s="194" t="s">
        <v>276</v>
      </c>
      <c r="C12" s="295">
        <f>C11</f>
        <v>2522773.25</v>
      </c>
      <c r="D12" s="282">
        <f t="shared" ref="D12:N12" si="3">D11</f>
        <v>2522773.25</v>
      </c>
      <c r="E12" s="195">
        <f t="shared" si="3"/>
        <v>2522773.25</v>
      </c>
      <c r="F12" s="195">
        <f t="shared" si="3"/>
        <v>2522773.25</v>
      </c>
      <c r="G12" s="195">
        <f t="shared" si="3"/>
        <v>2522773.25</v>
      </c>
      <c r="H12" s="195">
        <f t="shared" si="3"/>
        <v>2522773.25</v>
      </c>
      <c r="I12" s="195">
        <f t="shared" si="3"/>
        <v>2522773.25</v>
      </c>
      <c r="J12" s="195">
        <f t="shared" si="3"/>
        <v>2522773.25</v>
      </c>
      <c r="K12" s="195">
        <f t="shared" si="3"/>
        <v>2522773.25</v>
      </c>
      <c r="L12" s="195">
        <f t="shared" si="3"/>
        <v>2522773.25</v>
      </c>
      <c r="M12" s="195">
        <f t="shared" si="3"/>
        <v>2522773.25</v>
      </c>
      <c r="N12" s="195">
        <f t="shared" si="3"/>
        <v>2522773.25</v>
      </c>
      <c r="O12" s="420">
        <f>O11</f>
        <v>30273279</v>
      </c>
    </row>
    <row r="13" spans="1:17" ht="27" customHeight="1">
      <c r="A13" s="191" t="s">
        <v>277</v>
      </c>
      <c r="B13" s="191" t="s">
        <v>278</v>
      </c>
      <c r="C13" s="292" t="s">
        <v>251</v>
      </c>
      <c r="D13" s="279" t="s">
        <v>252</v>
      </c>
      <c r="E13" s="192" t="s">
        <v>253</v>
      </c>
      <c r="F13" s="192" t="s">
        <v>254</v>
      </c>
      <c r="G13" s="192" t="s">
        <v>255</v>
      </c>
      <c r="H13" s="192" t="s">
        <v>256</v>
      </c>
      <c r="I13" s="192" t="s">
        <v>257</v>
      </c>
      <c r="J13" s="192" t="s">
        <v>258</v>
      </c>
      <c r="K13" s="192" t="s">
        <v>259</v>
      </c>
      <c r="L13" s="192" t="s">
        <v>260</v>
      </c>
      <c r="M13" s="192" t="s">
        <v>261</v>
      </c>
      <c r="N13" s="192" t="s">
        <v>262</v>
      </c>
      <c r="O13" s="192" t="s">
        <v>37</v>
      </c>
    </row>
    <row r="14" spans="1:17" ht="27" customHeight="1">
      <c r="A14" s="165" t="s">
        <v>279</v>
      </c>
      <c r="B14" s="165" t="s">
        <v>280</v>
      </c>
      <c r="C14" s="296"/>
      <c r="D14" s="28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75">
        <f t="shared" ref="O14:O15" si="4">SUM(C14:N14)</f>
        <v>0</v>
      </c>
    </row>
    <row r="15" spans="1:17" ht="27" customHeight="1">
      <c r="A15" s="165" t="s">
        <v>281</v>
      </c>
      <c r="B15" s="165" t="s">
        <v>282</v>
      </c>
      <c r="C15" s="296"/>
      <c r="D15" s="28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75">
        <f t="shared" si="4"/>
        <v>0</v>
      </c>
    </row>
    <row r="16" spans="1:17" ht="27" customHeight="1">
      <c r="A16" s="141"/>
      <c r="B16" s="194" t="s">
        <v>283</v>
      </c>
      <c r="C16" s="295">
        <f>SUM(C14:C15)</f>
        <v>0</v>
      </c>
      <c r="D16" s="295">
        <f t="shared" ref="D16:N16" si="5">SUM(D14:D15)</f>
        <v>0</v>
      </c>
      <c r="E16" s="295">
        <f t="shared" si="5"/>
        <v>0</v>
      </c>
      <c r="F16" s="295">
        <f t="shared" si="5"/>
        <v>0</v>
      </c>
      <c r="G16" s="295">
        <f t="shared" si="5"/>
        <v>0</v>
      </c>
      <c r="H16" s="295">
        <f t="shared" si="5"/>
        <v>0</v>
      </c>
      <c r="I16" s="295">
        <f t="shared" si="5"/>
        <v>0</v>
      </c>
      <c r="J16" s="295">
        <f t="shared" si="5"/>
        <v>0</v>
      </c>
      <c r="K16" s="295">
        <f t="shared" si="5"/>
        <v>0</v>
      </c>
      <c r="L16" s="295">
        <f t="shared" si="5"/>
        <v>0</v>
      </c>
      <c r="M16" s="295">
        <f t="shared" si="5"/>
        <v>0</v>
      </c>
      <c r="N16" s="295">
        <f t="shared" si="5"/>
        <v>0</v>
      </c>
      <c r="O16" s="420">
        <f>SUM(O14:O15)</f>
        <v>0</v>
      </c>
      <c r="Q16" s="216"/>
    </row>
    <row r="17" spans="1:17" ht="27" customHeight="1">
      <c r="A17" s="191" t="s">
        <v>284</v>
      </c>
      <c r="B17" s="191" t="s">
        <v>285</v>
      </c>
      <c r="C17" s="292" t="s">
        <v>251</v>
      </c>
      <c r="D17" s="279" t="s">
        <v>252</v>
      </c>
      <c r="E17" s="192" t="s">
        <v>253</v>
      </c>
      <c r="F17" s="192" t="s">
        <v>254</v>
      </c>
      <c r="G17" s="192" t="s">
        <v>255</v>
      </c>
      <c r="H17" s="192" t="s">
        <v>256</v>
      </c>
      <c r="I17" s="192" t="s">
        <v>257</v>
      </c>
      <c r="J17" s="192" t="s">
        <v>258</v>
      </c>
      <c r="K17" s="192" t="s">
        <v>259</v>
      </c>
      <c r="L17" s="192" t="s">
        <v>260</v>
      </c>
      <c r="M17" s="192" t="s">
        <v>261</v>
      </c>
      <c r="N17" s="192" t="s">
        <v>262</v>
      </c>
      <c r="O17" s="192" t="s">
        <v>37</v>
      </c>
    </row>
    <row r="18" spans="1:17" ht="27" customHeight="1">
      <c r="A18" s="165" t="s">
        <v>286</v>
      </c>
      <c r="B18" s="211" t="s">
        <v>287</v>
      </c>
      <c r="C18" s="297"/>
      <c r="D18" s="284"/>
      <c r="E18" s="213">
        <v>237426.38</v>
      </c>
      <c r="F18" s="213">
        <v>237426.38</v>
      </c>
      <c r="G18" s="213">
        <v>237426.38</v>
      </c>
      <c r="H18" s="213">
        <v>227441.34</v>
      </c>
      <c r="I18" s="213">
        <v>227441.34</v>
      </c>
      <c r="J18" s="213">
        <v>227441.34</v>
      </c>
      <c r="K18" s="213">
        <v>227441.34</v>
      </c>
      <c r="L18" s="213">
        <v>227441.34</v>
      </c>
      <c r="M18" s="213">
        <v>227441.34</v>
      </c>
      <c r="N18" s="213">
        <v>227441.34</v>
      </c>
      <c r="O18" s="193">
        <f t="shared" ref="O18:O26" si="6">SUM(C18:N18)</f>
        <v>2304368.5200000005</v>
      </c>
    </row>
    <row r="19" spans="1:17" ht="27" customHeight="1">
      <c r="A19" s="165" t="s">
        <v>288</v>
      </c>
      <c r="B19" s="211" t="s">
        <v>289</v>
      </c>
      <c r="C19" s="297"/>
      <c r="D19" s="284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193">
        <f t="shared" si="6"/>
        <v>0</v>
      </c>
    </row>
    <row r="20" spans="1:17" ht="27" customHeight="1">
      <c r="A20" s="165" t="s">
        <v>290</v>
      </c>
      <c r="B20" s="309" t="s">
        <v>291</v>
      </c>
      <c r="C20" s="297"/>
      <c r="D20" s="284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193">
        <f t="shared" si="6"/>
        <v>0</v>
      </c>
      <c r="Q20" s="216"/>
    </row>
    <row r="21" spans="1:17" ht="27" customHeight="1">
      <c r="A21" s="165" t="s">
        <v>292</v>
      </c>
      <c r="B21" s="211" t="s">
        <v>293</v>
      </c>
      <c r="C21" s="297"/>
      <c r="D21" s="284"/>
      <c r="E21" s="284">
        <f>377000/12</f>
        <v>31416.666666666668</v>
      </c>
      <c r="F21" s="284">
        <f t="shared" ref="F21:N21" si="7">377000/12</f>
        <v>31416.666666666668</v>
      </c>
      <c r="G21" s="284">
        <f t="shared" si="7"/>
        <v>31416.666666666668</v>
      </c>
      <c r="H21" s="284">
        <f t="shared" si="7"/>
        <v>31416.666666666668</v>
      </c>
      <c r="I21" s="284">
        <f t="shared" si="7"/>
        <v>31416.666666666668</v>
      </c>
      <c r="J21" s="284">
        <f t="shared" si="7"/>
        <v>31416.666666666668</v>
      </c>
      <c r="K21" s="284">
        <f t="shared" si="7"/>
        <v>31416.666666666668</v>
      </c>
      <c r="L21" s="284">
        <f t="shared" si="7"/>
        <v>31416.666666666668</v>
      </c>
      <c r="M21" s="284">
        <f t="shared" si="7"/>
        <v>31416.666666666668</v>
      </c>
      <c r="N21" s="284">
        <f t="shared" si="7"/>
        <v>31416.666666666668</v>
      </c>
      <c r="O21" s="193">
        <f t="shared" si="6"/>
        <v>314166.66666666669</v>
      </c>
    </row>
    <row r="22" spans="1:17" ht="27" customHeight="1">
      <c r="A22" s="165" t="s">
        <v>294</v>
      </c>
      <c r="B22" s="211" t="s">
        <v>295</v>
      </c>
      <c r="C22" s="298"/>
      <c r="D22" s="298"/>
      <c r="E22" s="214">
        <v>0</v>
      </c>
      <c r="F22" s="214"/>
      <c r="G22" s="214"/>
      <c r="H22" s="214"/>
      <c r="I22" s="214"/>
      <c r="J22" s="214"/>
      <c r="K22" s="214"/>
      <c r="L22" s="214"/>
      <c r="M22" s="214"/>
      <c r="N22" s="214"/>
      <c r="O22" s="193">
        <f t="shared" si="6"/>
        <v>0</v>
      </c>
    </row>
    <row r="23" spans="1:17" ht="27" customHeight="1">
      <c r="A23" s="165" t="s">
        <v>296</v>
      </c>
      <c r="B23" s="289" t="s">
        <v>297</v>
      </c>
      <c r="C23" s="290"/>
      <c r="D23" s="290">
        <f>352249.07+324365.74+7424.3</f>
        <v>684039.1100000001</v>
      </c>
      <c r="E23" s="290">
        <f t="shared" ref="E23:N23" si="8">352249.07+324365.74+7424.3</f>
        <v>684039.1100000001</v>
      </c>
      <c r="F23" s="290">
        <f t="shared" si="8"/>
        <v>684039.1100000001</v>
      </c>
      <c r="G23" s="290">
        <f t="shared" si="8"/>
        <v>684039.1100000001</v>
      </c>
      <c r="H23" s="290">
        <f t="shared" si="8"/>
        <v>684039.1100000001</v>
      </c>
      <c r="I23" s="290">
        <f t="shared" si="8"/>
        <v>684039.1100000001</v>
      </c>
      <c r="J23" s="290">
        <f t="shared" si="8"/>
        <v>684039.1100000001</v>
      </c>
      <c r="K23" s="290">
        <f t="shared" si="8"/>
        <v>684039.1100000001</v>
      </c>
      <c r="L23" s="290">
        <f t="shared" si="8"/>
        <v>684039.1100000001</v>
      </c>
      <c r="M23" s="290">
        <f t="shared" si="8"/>
        <v>684039.1100000001</v>
      </c>
      <c r="N23" s="290">
        <f t="shared" si="8"/>
        <v>684039.1100000001</v>
      </c>
      <c r="O23" s="193">
        <f t="shared" si="6"/>
        <v>7524430.2100000028</v>
      </c>
    </row>
    <row r="24" spans="1:17" ht="27" customHeight="1">
      <c r="A24" s="165" t="s">
        <v>298</v>
      </c>
      <c r="B24" s="211" t="s">
        <v>299</v>
      </c>
      <c r="C24" s="299"/>
      <c r="D24" s="285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193">
        <f t="shared" si="6"/>
        <v>0</v>
      </c>
    </row>
    <row r="25" spans="1:17" ht="27" customHeight="1">
      <c r="A25" s="165" t="s">
        <v>300</v>
      </c>
      <c r="B25" s="211" t="s">
        <v>301</v>
      </c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193">
        <f t="shared" si="6"/>
        <v>0</v>
      </c>
    </row>
    <row r="26" spans="1:17" ht="27" customHeight="1">
      <c r="A26" s="165"/>
      <c r="B26" s="211" t="s">
        <v>302</v>
      </c>
      <c r="C26" s="300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193">
        <f t="shared" si="6"/>
        <v>0</v>
      </c>
    </row>
    <row r="27" spans="1:17" ht="27" customHeight="1">
      <c r="A27" s="141"/>
      <c r="B27" s="194" t="s">
        <v>303</v>
      </c>
      <c r="C27" s="295">
        <f t="shared" ref="C27:O27" si="9">SUM(C18:C26)</f>
        <v>0</v>
      </c>
      <c r="D27" s="282">
        <f t="shared" si="9"/>
        <v>684039.1100000001</v>
      </c>
      <c r="E27" s="195">
        <f t="shared" si="9"/>
        <v>952882.15666666673</v>
      </c>
      <c r="F27" s="295">
        <f t="shared" si="9"/>
        <v>952882.15666666673</v>
      </c>
      <c r="G27" s="282">
        <f t="shared" si="9"/>
        <v>952882.15666666673</v>
      </c>
      <c r="H27" s="295">
        <f t="shared" si="9"/>
        <v>942897.1166666667</v>
      </c>
      <c r="I27" s="282">
        <f t="shared" si="9"/>
        <v>942897.1166666667</v>
      </c>
      <c r="J27" s="195">
        <f t="shared" si="9"/>
        <v>942897.1166666667</v>
      </c>
      <c r="K27" s="295">
        <f t="shared" si="9"/>
        <v>942897.1166666667</v>
      </c>
      <c r="L27" s="295">
        <f t="shared" si="9"/>
        <v>942897.1166666667</v>
      </c>
      <c r="M27" s="282">
        <f t="shared" si="9"/>
        <v>942897.1166666667</v>
      </c>
      <c r="N27" s="195">
        <f t="shared" si="9"/>
        <v>942897.1166666667</v>
      </c>
      <c r="O27" s="195">
        <f t="shared" si="9"/>
        <v>10142965.39666667</v>
      </c>
    </row>
    <row r="28" spans="1:17" ht="27" customHeight="1">
      <c r="A28" s="191" t="s">
        <v>304</v>
      </c>
      <c r="B28" s="191" t="s">
        <v>305</v>
      </c>
      <c r="C28" s="292" t="s">
        <v>251</v>
      </c>
      <c r="D28" s="279" t="s">
        <v>252</v>
      </c>
      <c r="E28" s="192" t="s">
        <v>253</v>
      </c>
      <c r="F28" s="192" t="s">
        <v>254</v>
      </c>
      <c r="G28" s="192" t="s">
        <v>255</v>
      </c>
      <c r="H28" s="192" t="s">
        <v>256</v>
      </c>
      <c r="I28" s="192" t="s">
        <v>257</v>
      </c>
      <c r="J28" s="192" t="s">
        <v>258</v>
      </c>
      <c r="K28" s="192" t="s">
        <v>259</v>
      </c>
      <c r="L28" s="192" t="s">
        <v>260</v>
      </c>
      <c r="M28" s="192" t="s">
        <v>261</v>
      </c>
      <c r="N28" s="192" t="s">
        <v>262</v>
      </c>
      <c r="O28" s="192" t="s">
        <v>37</v>
      </c>
    </row>
    <row r="29" spans="1:17" ht="27" customHeight="1">
      <c r="A29" s="165" t="s">
        <v>306</v>
      </c>
      <c r="B29" s="165" t="s">
        <v>307</v>
      </c>
      <c r="C29" s="296">
        <v>119000</v>
      </c>
      <c r="D29" s="296">
        <v>119000</v>
      </c>
      <c r="E29" s="296">
        <v>119000</v>
      </c>
      <c r="F29" s="296">
        <v>119000</v>
      </c>
      <c r="G29" s="296">
        <v>119000</v>
      </c>
      <c r="H29" s="296">
        <v>119000</v>
      </c>
      <c r="I29" s="296">
        <v>119000</v>
      </c>
      <c r="J29" s="296">
        <v>119000</v>
      </c>
      <c r="K29" s="296">
        <v>119000</v>
      </c>
      <c r="L29" s="296">
        <v>119000</v>
      </c>
      <c r="M29" s="296">
        <v>119000</v>
      </c>
      <c r="N29" s="296">
        <v>119000</v>
      </c>
      <c r="O29" s="175">
        <f t="shared" ref="O29" si="10">SUM(C29:N29)</f>
        <v>1428000</v>
      </c>
    </row>
    <row r="30" spans="1:17" ht="27" customHeight="1">
      <c r="A30" s="141"/>
      <c r="B30" s="194" t="s">
        <v>308</v>
      </c>
      <c r="C30" s="295">
        <f>C29</f>
        <v>119000</v>
      </c>
      <c r="D30" s="282">
        <f t="shared" ref="D30:N30" si="11">D29</f>
        <v>119000</v>
      </c>
      <c r="E30" s="195">
        <f t="shared" si="11"/>
        <v>119000</v>
      </c>
      <c r="F30" s="195">
        <f t="shared" si="11"/>
        <v>119000</v>
      </c>
      <c r="G30" s="195">
        <f t="shared" si="11"/>
        <v>119000</v>
      </c>
      <c r="H30" s="195">
        <f t="shared" si="11"/>
        <v>119000</v>
      </c>
      <c r="I30" s="195">
        <f t="shared" si="11"/>
        <v>119000</v>
      </c>
      <c r="J30" s="195">
        <f t="shared" si="11"/>
        <v>119000</v>
      </c>
      <c r="K30" s="195">
        <f t="shared" si="11"/>
        <v>119000</v>
      </c>
      <c r="L30" s="195">
        <f t="shared" si="11"/>
        <v>119000</v>
      </c>
      <c r="M30" s="195">
        <f t="shared" si="11"/>
        <v>119000</v>
      </c>
      <c r="N30" s="195">
        <f t="shared" si="11"/>
        <v>119000</v>
      </c>
      <c r="O30" s="420">
        <f>O29</f>
        <v>1428000</v>
      </c>
    </row>
    <row r="31" spans="1:17" ht="27" customHeight="1">
      <c r="A31" s="141"/>
      <c r="B31" s="209" t="s">
        <v>309</v>
      </c>
      <c r="C31" s="301">
        <f t="shared" ref="C31:N31" si="12">C9+C12+C16+C27+C30</f>
        <v>21643889.109999999</v>
      </c>
      <c r="D31" s="286">
        <f t="shared" si="12"/>
        <v>22327928.219999999</v>
      </c>
      <c r="E31" s="205">
        <f t="shared" si="12"/>
        <v>22596771.266666666</v>
      </c>
      <c r="F31" s="205">
        <f t="shared" si="12"/>
        <v>22596771.266666666</v>
      </c>
      <c r="G31" s="205">
        <f t="shared" si="12"/>
        <v>22596771.266666666</v>
      </c>
      <c r="H31" s="205">
        <f t="shared" si="12"/>
        <v>22586786.226666667</v>
      </c>
      <c r="I31" s="205">
        <f t="shared" si="12"/>
        <v>22586786.226666667</v>
      </c>
      <c r="J31" s="205">
        <f t="shared" si="12"/>
        <v>22586786.226666667</v>
      </c>
      <c r="K31" s="205">
        <f t="shared" si="12"/>
        <v>22586786.226666667</v>
      </c>
      <c r="L31" s="205">
        <f t="shared" si="12"/>
        <v>22586786.226666667</v>
      </c>
      <c r="M31" s="205">
        <f t="shared" si="12"/>
        <v>22586786.226666667</v>
      </c>
      <c r="N31" s="196">
        <f t="shared" si="12"/>
        <v>22586786.226666667</v>
      </c>
      <c r="O31" s="319">
        <f>SUM(C31:N31)</f>
        <v>269869634.71666664</v>
      </c>
    </row>
    <row r="32" spans="1:17" ht="27" customHeight="1">
      <c r="A32" s="199" t="s">
        <v>310</v>
      </c>
      <c r="B32" s="200" t="s">
        <v>311</v>
      </c>
      <c r="C32" s="292" t="s">
        <v>251</v>
      </c>
      <c r="D32" s="279" t="s">
        <v>252</v>
      </c>
      <c r="E32" s="192" t="s">
        <v>253</v>
      </c>
      <c r="F32" s="192" t="s">
        <v>254</v>
      </c>
      <c r="G32" s="192" t="s">
        <v>255</v>
      </c>
      <c r="H32" s="192" t="s">
        <v>256</v>
      </c>
      <c r="I32" s="192" t="s">
        <v>257</v>
      </c>
      <c r="J32" s="192" t="s">
        <v>258</v>
      </c>
      <c r="K32" s="192" t="s">
        <v>259</v>
      </c>
      <c r="L32" s="192" t="s">
        <v>260</v>
      </c>
      <c r="M32" s="192" t="s">
        <v>261</v>
      </c>
      <c r="N32" s="192" t="s">
        <v>262</v>
      </c>
      <c r="O32" s="192" t="s">
        <v>37</v>
      </c>
    </row>
    <row r="33" spans="1:15" ht="27" customHeight="1">
      <c r="A33" s="165" t="s">
        <v>312</v>
      </c>
      <c r="B33" s="165" t="s">
        <v>313</v>
      </c>
      <c r="C33" s="302"/>
      <c r="D33" s="287"/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197">
        <v>0</v>
      </c>
      <c r="K33" s="197">
        <v>0</v>
      </c>
      <c r="L33" s="197">
        <v>0</v>
      </c>
      <c r="M33" s="197">
        <v>0</v>
      </c>
      <c r="N33" s="197">
        <v>0</v>
      </c>
      <c r="O33" s="175">
        <f t="shared" ref="O33:O37" si="13">SUM(C33:N33)</f>
        <v>0</v>
      </c>
    </row>
    <row r="34" spans="1:15" ht="27" customHeight="1">
      <c r="A34" s="165" t="s">
        <v>314</v>
      </c>
      <c r="B34" s="165" t="s">
        <v>315</v>
      </c>
      <c r="C34" s="302"/>
      <c r="D34" s="28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75">
        <f t="shared" si="13"/>
        <v>0</v>
      </c>
    </row>
    <row r="35" spans="1:15" ht="27" customHeight="1">
      <c r="A35" s="165" t="s">
        <v>316</v>
      </c>
      <c r="B35" s="165" t="s">
        <v>317</v>
      </c>
      <c r="C35" s="302"/>
      <c r="D35" s="287"/>
      <c r="E35" s="197">
        <v>2000000</v>
      </c>
      <c r="F35" s="197">
        <v>2000000</v>
      </c>
      <c r="G35" s="197">
        <v>2000000</v>
      </c>
      <c r="H35" s="197">
        <v>2000000</v>
      </c>
      <c r="I35" s="197">
        <v>2000000</v>
      </c>
      <c r="J35" s="197">
        <v>2000000</v>
      </c>
      <c r="K35" s="197">
        <v>2000000</v>
      </c>
      <c r="L35" s="197">
        <v>2000000</v>
      </c>
      <c r="M35" s="197">
        <v>2000000</v>
      </c>
      <c r="N35" s="197">
        <v>2000000</v>
      </c>
      <c r="O35" s="175">
        <f>SUM(C35:N35)</f>
        <v>20000000</v>
      </c>
    </row>
    <row r="36" spans="1:15" ht="27" customHeight="1">
      <c r="A36" s="165" t="s">
        <v>318</v>
      </c>
      <c r="B36" s="165" t="s">
        <v>319</v>
      </c>
      <c r="C36" s="193">
        <f>(90%*C31)-C11</f>
        <v>16956726.949000001</v>
      </c>
      <c r="D36" s="193">
        <f t="shared" ref="D36:N36" si="14">(90%*D31)-D11</f>
        <v>17572362.147999998</v>
      </c>
      <c r="E36" s="193">
        <f t="shared" si="14"/>
        <v>17814320.890000001</v>
      </c>
      <c r="F36" s="193">
        <f t="shared" si="14"/>
        <v>17814320.890000001</v>
      </c>
      <c r="G36" s="193">
        <f t="shared" si="14"/>
        <v>17814320.890000001</v>
      </c>
      <c r="H36" s="193">
        <f t="shared" si="14"/>
        <v>17805334.354000002</v>
      </c>
      <c r="I36" s="193">
        <f t="shared" si="14"/>
        <v>17805334.354000002</v>
      </c>
      <c r="J36" s="193">
        <f t="shared" si="14"/>
        <v>17805334.354000002</v>
      </c>
      <c r="K36" s="193">
        <f t="shared" si="14"/>
        <v>17805334.354000002</v>
      </c>
      <c r="L36" s="193">
        <f t="shared" si="14"/>
        <v>17805334.354000002</v>
      </c>
      <c r="M36" s="193">
        <f t="shared" si="14"/>
        <v>17805334.354000002</v>
      </c>
      <c r="N36" s="193">
        <f t="shared" si="14"/>
        <v>17805334.354000002</v>
      </c>
      <c r="O36" s="175">
        <f t="shared" si="13"/>
        <v>212609392.245</v>
      </c>
    </row>
    <row r="37" spans="1:15" ht="27" customHeight="1">
      <c r="A37" s="165" t="s">
        <v>320</v>
      </c>
      <c r="B37" s="174" t="s">
        <v>321</v>
      </c>
      <c r="C37" s="197">
        <v>1980000</v>
      </c>
      <c r="D37" s="197">
        <v>1980000</v>
      </c>
      <c r="E37" s="197">
        <v>1980000</v>
      </c>
      <c r="F37" s="197">
        <v>1980000</v>
      </c>
      <c r="G37" s="197">
        <v>1980000</v>
      </c>
      <c r="H37" s="197">
        <v>1980000</v>
      </c>
      <c r="I37" s="197">
        <v>1980000</v>
      </c>
      <c r="J37" s="197">
        <v>1980000</v>
      </c>
      <c r="K37" s="197">
        <v>1980000</v>
      </c>
      <c r="L37" s="197">
        <v>1980000</v>
      </c>
      <c r="M37" s="197">
        <v>1980000</v>
      </c>
      <c r="N37" s="197">
        <v>1980000</v>
      </c>
      <c r="O37" s="464">
        <f>SUM(C37:N37)</f>
        <v>23760000</v>
      </c>
    </row>
    <row r="38" spans="1:15" ht="27" customHeight="1">
      <c r="A38" s="165"/>
      <c r="B38" s="210" t="s">
        <v>322</v>
      </c>
      <c r="C38" s="301">
        <f>SUM(C33:C37)</f>
        <v>18936726.949000001</v>
      </c>
      <c r="D38" s="286">
        <f>SUM(D33:D37)</f>
        <v>19552362.147999998</v>
      </c>
      <c r="E38" s="196">
        <f>SUM(E33:E37)</f>
        <v>21794320.890000001</v>
      </c>
      <c r="F38" s="196">
        <f t="shared" ref="F38:N38" si="15">SUM(F33:F37)</f>
        <v>21794320.890000001</v>
      </c>
      <c r="G38" s="196">
        <f t="shared" si="15"/>
        <v>21794320.890000001</v>
      </c>
      <c r="H38" s="196">
        <f t="shared" si="15"/>
        <v>21785334.354000002</v>
      </c>
      <c r="I38" s="196">
        <f t="shared" si="15"/>
        <v>21785334.354000002</v>
      </c>
      <c r="J38" s="196">
        <f t="shared" si="15"/>
        <v>21785334.354000002</v>
      </c>
      <c r="K38" s="196">
        <f t="shared" si="15"/>
        <v>21785334.354000002</v>
      </c>
      <c r="L38" s="196">
        <f t="shared" si="15"/>
        <v>21785334.354000002</v>
      </c>
      <c r="M38" s="196">
        <f t="shared" si="15"/>
        <v>21785334.354000002</v>
      </c>
      <c r="N38" s="196">
        <f t="shared" si="15"/>
        <v>21785334.354000002</v>
      </c>
      <c r="O38" s="205">
        <f>SUM(O33:O37)</f>
        <v>256369392.245</v>
      </c>
    </row>
    <row r="39" spans="1:15" ht="27" customHeight="1">
      <c r="A39" s="201" t="s">
        <v>323</v>
      </c>
      <c r="B39" s="201" t="s">
        <v>324</v>
      </c>
      <c r="C39" s="303" t="s">
        <v>251</v>
      </c>
      <c r="D39" s="279" t="s">
        <v>252</v>
      </c>
      <c r="E39" s="192" t="s">
        <v>253</v>
      </c>
      <c r="F39" s="192" t="s">
        <v>254</v>
      </c>
      <c r="G39" s="192" t="s">
        <v>255</v>
      </c>
      <c r="H39" s="192" t="s">
        <v>256</v>
      </c>
      <c r="I39" s="192" t="s">
        <v>257</v>
      </c>
      <c r="J39" s="192" t="s">
        <v>258</v>
      </c>
      <c r="K39" s="192" t="s">
        <v>259</v>
      </c>
      <c r="L39" s="192" t="s">
        <v>260</v>
      </c>
      <c r="M39" s="192" t="s">
        <v>261</v>
      </c>
      <c r="N39" s="192" t="s">
        <v>262</v>
      </c>
      <c r="O39" s="192" t="s">
        <v>37</v>
      </c>
    </row>
    <row r="40" spans="1:15" ht="27" customHeight="1">
      <c r="A40" s="165" t="s">
        <v>325</v>
      </c>
      <c r="B40" s="198" t="s">
        <v>326</v>
      </c>
      <c r="C40" s="302"/>
      <c r="D40" s="28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75">
        <f t="shared" ref="O40:O42" si="16">SUM(C40:N40)</f>
        <v>0</v>
      </c>
    </row>
    <row r="41" spans="1:15" ht="27" customHeight="1">
      <c r="A41" s="165" t="s">
        <v>327</v>
      </c>
      <c r="B41" s="165" t="s">
        <v>328</v>
      </c>
      <c r="C41" s="302"/>
      <c r="D41" s="28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75">
        <f t="shared" si="16"/>
        <v>0</v>
      </c>
    </row>
    <row r="42" spans="1:15" ht="27" customHeight="1">
      <c r="A42" s="165" t="s">
        <v>329</v>
      </c>
      <c r="B42" s="165" t="s">
        <v>330</v>
      </c>
      <c r="C42" s="302"/>
      <c r="D42" s="28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75">
        <f t="shared" si="16"/>
        <v>0</v>
      </c>
    </row>
    <row r="43" spans="1:15" ht="27" customHeight="1">
      <c r="A43" s="141"/>
      <c r="B43" s="209" t="s">
        <v>331</v>
      </c>
      <c r="C43" s="301">
        <f>SUM(C40:C42)</f>
        <v>0</v>
      </c>
      <c r="D43" s="286">
        <f>SUM(D40:D42)</f>
        <v>0</v>
      </c>
      <c r="E43" s="196">
        <f t="shared" ref="E43:N43" si="17">SUM(E40:E42)</f>
        <v>0</v>
      </c>
      <c r="F43" s="196">
        <f t="shared" si="17"/>
        <v>0</v>
      </c>
      <c r="G43" s="196">
        <f t="shared" si="17"/>
        <v>0</v>
      </c>
      <c r="H43" s="196">
        <f t="shared" si="17"/>
        <v>0</v>
      </c>
      <c r="I43" s="196">
        <f t="shared" si="17"/>
        <v>0</v>
      </c>
      <c r="J43" s="196">
        <f t="shared" si="17"/>
        <v>0</v>
      </c>
      <c r="K43" s="196">
        <f t="shared" si="17"/>
        <v>0</v>
      </c>
      <c r="L43" s="196">
        <f t="shared" si="17"/>
        <v>0</v>
      </c>
      <c r="M43" s="196">
        <f t="shared" si="17"/>
        <v>0</v>
      </c>
      <c r="N43" s="196">
        <f t="shared" si="17"/>
        <v>0</v>
      </c>
      <c r="O43" s="205">
        <f>SUM(O40:O42)</f>
        <v>0</v>
      </c>
    </row>
    <row r="44" spans="1:15" ht="27" customHeight="1">
      <c r="C44" s="304">
        <f>SUM(C38:E38)</f>
        <v>60283409.987000003</v>
      </c>
    </row>
    <row r="45" spans="1:15" ht="27" customHeight="1"/>
    <row r="46" spans="1:15" ht="27" customHeight="1">
      <c r="E46" s="218"/>
      <c r="F46" s="218"/>
      <c r="G46" s="218"/>
      <c r="H46" s="218"/>
      <c r="I46" s="218"/>
      <c r="J46" s="218"/>
      <c r="K46" s="218"/>
      <c r="L46" s="218"/>
      <c r="M46" s="218"/>
      <c r="N46" s="218"/>
    </row>
    <row r="47" spans="1:15" ht="27" customHeight="1">
      <c r="E47" s="218"/>
      <c r="F47" s="218"/>
      <c r="G47" s="218"/>
      <c r="H47" s="218"/>
      <c r="I47" s="218"/>
      <c r="J47" s="218"/>
      <c r="K47" s="218"/>
      <c r="L47" s="218"/>
      <c r="M47" s="218"/>
      <c r="N47" s="218"/>
    </row>
    <row r="48" spans="1:15" ht="27" customHeight="1">
      <c r="E48" s="217"/>
      <c r="F48" s="217"/>
      <c r="G48" s="217"/>
      <c r="H48" s="217"/>
      <c r="I48" s="217"/>
      <c r="J48" s="217"/>
      <c r="K48" s="217"/>
      <c r="L48" s="217"/>
      <c r="M48" s="217"/>
      <c r="N48" s="217"/>
    </row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.75" customHeight="1"/>
    <row r="61" ht="27.75" customHeight="1"/>
    <row r="62" ht="27.75" customHeight="1"/>
    <row r="63" ht="27.75" customHeight="1"/>
    <row r="64" ht="27.75" customHeight="1"/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honeticPr fontId="35" type="noConversion"/>
  <pageMargins left="0.511811024" right="0.511811024" top="0.78740157499999996" bottom="0.78740157499999996" header="0.31496062000000002" footer="0.31496062000000002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528"/>
  <sheetViews>
    <sheetView showGridLines="0" topLeftCell="A109" zoomScale="80" zoomScaleNormal="80" workbookViewId="0">
      <pane xSplit="3" topLeftCell="G334" activePane="topRight" state="frozen"/>
      <selection pane="topRight" activeCell="L324" sqref="L324"/>
      <selection activeCell="B3" sqref="B3"/>
    </sheetView>
  </sheetViews>
  <sheetFormatPr defaultColWidth="81.42578125" defaultRowHeight="13.15" outlineLevelRow="1" outlineLevelCol="1"/>
  <cols>
    <col min="1" max="1" width="7.7109375" style="137" bestFit="1" customWidth="1"/>
    <col min="2" max="2" width="81" style="138" customWidth="1"/>
    <col min="3" max="3" width="19.28515625" style="187" bestFit="1" customWidth="1"/>
    <col min="4" max="4" width="18.42578125" style="246" customWidth="1" outlineLevel="1"/>
    <col min="5" max="5" width="16.7109375" style="246" customWidth="1" outlineLevel="1"/>
    <col min="6" max="6" width="16.7109375" style="246" customWidth="1"/>
    <col min="7" max="8" width="16.7109375" style="246" customWidth="1" outlineLevel="1"/>
    <col min="9" max="9" width="16.7109375" style="246" customWidth="1"/>
    <col min="10" max="10" width="17.85546875" style="246" customWidth="1" outlineLevel="1" collapsed="1"/>
    <col min="11" max="11" width="16.7109375" style="246" customWidth="1" outlineLevel="1"/>
    <col min="12" max="12" width="16.7109375" style="246" bestFit="1" customWidth="1"/>
    <col min="13" max="14" width="16.7109375" style="246" customWidth="1" outlineLevel="1"/>
    <col min="15" max="19" width="16.7109375" style="246" bestFit="1" customWidth="1"/>
    <col min="20" max="20" width="24.85546875" style="246" bestFit="1" customWidth="1"/>
    <col min="21" max="21" width="81.42578125" style="137"/>
    <col min="22" max="22" width="81.42578125" style="167"/>
    <col min="23" max="16384" width="81.42578125" style="137"/>
  </cols>
  <sheetData>
    <row r="1" spans="1:22" s="144" customFormat="1" ht="27" hidden="1" customHeight="1">
      <c r="A1" s="439" t="s">
        <v>247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V1" s="311"/>
    </row>
    <row r="2" spans="1:22" s="157" customFormat="1" ht="27" hidden="1" customHeight="1">
      <c r="A2" s="155">
        <v>2</v>
      </c>
      <c r="B2" s="155" t="s">
        <v>332</v>
      </c>
      <c r="C2" s="156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V2" s="312"/>
    </row>
    <row r="3" spans="1:22" s="157" customFormat="1" ht="27" customHeight="1">
      <c r="A3" s="158" t="s">
        <v>333</v>
      </c>
      <c r="B3" s="159" t="s">
        <v>334</v>
      </c>
      <c r="C3" s="159" t="s">
        <v>335</v>
      </c>
      <c r="D3" s="202" t="s">
        <v>336</v>
      </c>
      <c r="E3" s="202" t="s">
        <v>337</v>
      </c>
      <c r="F3" s="202" t="s">
        <v>338</v>
      </c>
      <c r="G3" s="202" t="s">
        <v>339</v>
      </c>
      <c r="H3" s="202" t="s">
        <v>340</v>
      </c>
      <c r="I3" s="202" t="s">
        <v>341</v>
      </c>
      <c r="J3" s="202" t="s">
        <v>342</v>
      </c>
      <c r="K3" s="202" t="s">
        <v>343</v>
      </c>
      <c r="L3" s="202" t="s">
        <v>344</v>
      </c>
      <c r="M3" s="202" t="s">
        <v>345</v>
      </c>
      <c r="N3" s="202" t="s">
        <v>346</v>
      </c>
      <c r="O3" s="202" t="s">
        <v>347</v>
      </c>
      <c r="P3" s="202" t="s">
        <v>348</v>
      </c>
      <c r="Q3" s="202" t="s">
        <v>349</v>
      </c>
      <c r="R3" s="202" t="s">
        <v>350</v>
      </c>
      <c r="S3" s="202" t="s">
        <v>351</v>
      </c>
      <c r="T3" s="202" t="s">
        <v>352</v>
      </c>
      <c r="V3" s="312"/>
    </row>
    <row r="4" spans="1:22" s="144" customFormat="1" ht="27" hidden="1" customHeight="1" outlineLevel="1">
      <c r="A4" s="143" t="s">
        <v>353</v>
      </c>
      <c r="B4" s="145" t="s">
        <v>354</v>
      </c>
      <c r="C4" s="163" t="s">
        <v>355</v>
      </c>
      <c r="D4" s="262">
        <v>180192.38</v>
      </c>
      <c r="E4" s="262">
        <v>281481.8</v>
      </c>
      <c r="F4" s="262">
        <v>170731.79</v>
      </c>
      <c r="G4" s="262">
        <v>198865.29</v>
      </c>
      <c r="H4" s="262">
        <v>161518.57</v>
      </c>
      <c r="I4" s="262">
        <v>176237.74</v>
      </c>
      <c r="J4" s="262">
        <v>196085.93</v>
      </c>
      <c r="K4" s="262">
        <v>96886.09</v>
      </c>
      <c r="L4" s="262">
        <v>174196.55</v>
      </c>
      <c r="M4" s="262">
        <v>124705.53</v>
      </c>
      <c r="N4" s="262">
        <v>123089.32</v>
      </c>
      <c r="O4" s="262">
        <v>174196.55</v>
      </c>
      <c r="P4" s="262">
        <f>SUM(D4:F4)</f>
        <v>632405.97</v>
      </c>
      <c r="Q4" s="262">
        <f>SUM(G4:I4)</f>
        <v>536621.6</v>
      </c>
      <c r="R4" s="262">
        <f>SUM(J4:L4)</f>
        <v>467168.57</v>
      </c>
      <c r="S4" s="262">
        <f>SUM(M4:O4)</f>
        <v>421991.4</v>
      </c>
      <c r="T4" s="262">
        <f t="shared" ref="T4:T35" si="0">SUM(D4:O4)</f>
        <v>2058187.5400000003</v>
      </c>
      <c r="V4" s="311"/>
    </row>
    <row r="5" spans="1:22" s="144" customFormat="1" ht="27" hidden="1" customHeight="1" outlineLevel="1">
      <c r="A5" s="145" t="s">
        <v>356</v>
      </c>
      <c r="B5" s="145" t="s">
        <v>18</v>
      </c>
      <c r="C5" s="163" t="s">
        <v>355</v>
      </c>
      <c r="D5" s="265">
        <v>854980.81</v>
      </c>
      <c r="E5" s="261">
        <v>840689.63</v>
      </c>
      <c r="F5" s="261">
        <v>904322.39</v>
      </c>
      <c r="G5" s="261">
        <v>850284.47</v>
      </c>
      <c r="H5" s="261">
        <v>887371.96</v>
      </c>
      <c r="I5" s="261">
        <v>864052.84</v>
      </c>
      <c r="J5" s="261">
        <v>882073.02</v>
      </c>
      <c r="K5" s="261">
        <v>956314.67</v>
      </c>
      <c r="L5" s="261">
        <v>934683.87</v>
      </c>
      <c r="M5" s="261">
        <v>956335.5</v>
      </c>
      <c r="N5" s="261">
        <v>943334.43</v>
      </c>
      <c r="O5" s="261">
        <v>867189.7</v>
      </c>
      <c r="P5" s="262">
        <f t="shared" ref="P5:P35" si="1">SUM(D5:F5)</f>
        <v>2599992.83</v>
      </c>
      <c r="Q5" s="262">
        <f t="shared" ref="Q5:Q35" si="2">SUM(G5:I5)</f>
        <v>2601709.27</v>
      </c>
      <c r="R5" s="262">
        <f t="shared" ref="R5:R35" si="3">SUM(J5:L5)</f>
        <v>2773071.56</v>
      </c>
      <c r="S5" s="262">
        <f t="shared" ref="S5:S35" si="4">SUM(M5:O5)</f>
        <v>2766859.63</v>
      </c>
      <c r="T5" s="262">
        <f t="shared" si="0"/>
        <v>10741633.289999999</v>
      </c>
      <c r="V5" s="311"/>
    </row>
    <row r="6" spans="1:22" s="144" customFormat="1" ht="27" hidden="1" customHeight="1" outlineLevel="1">
      <c r="A6" s="143" t="s">
        <v>357</v>
      </c>
      <c r="B6" s="160" t="s">
        <v>19</v>
      </c>
      <c r="C6" s="163" t="s">
        <v>355</v>
      </c>
      <c r="D6" s="313" t="s">
        <v>358</v>
      </c>
      <c r="E6" s="314" t="s">
        <v>358</v>
      </c>
      <c r="F6" s="314" t="s">
        <v>358</v>
      </c>
      <c r="G6" s="314" t="s">
        <v>358</v>
      </c>
      <c r="H6" s="314" t="s">
        <v>358</v>
      </c>
      <c r="I6" s="314" t="s">
        <v>358</v>
      </c>
      <c r="J6" s="314" t="s">
        <v>358</v>
      </c>
      <c r="K6" s="314" t="s">
        <v>358</v>
      </c>
      <c r="L6" s="314" t="s">
        <v>358</v>
      </c>
      <c r="M6" s="314" t="s">
        <v>358</v>
      </c>
      <c r="N6" s="314" t="s">
        <v>358</v>
      </c>
      <c r="O6" s="314" t="s">
        <v>358</v>
      </c>
      <c r="P6" s="262">
        <f t="shared" si="1"/>
        <v>0</v>
      </c>
      <c r="Q6" s="262">
        <f t="shared" si="2"/>
        <v>0</v>
      </c>
      <c r="R6" s="262">
        <f t="shared" si="3"/>
        <v>0</v>
      </c>
      <c r="S6" s="262">
        <f t="shared" si="4"/>
        <v>0</v>
      </c>
      <c r="T6" s="262">
        <f t="shared" si="0"/>
        <v>0</v>
      </c>
      <c r="U6" s="308" t="s">
        <v>359</v>
      </c>
      <c r="V6" s="311"/>
    </row>
    <row r="7" spans="1:22" s="144" customFormat="1" ht="27" hidden="1" customHeight="1" outlineLevel="1">
      <c r="A7" s="143" t="s">
        <v>360</v>
      </c>
      <c r="B7" s="143" t="s">
        <v>361</v>
      </c>
      <c r="C7" s="226" t="s">
        <v>355</v>
      </c>
      <c r="D7" s="368">
        <v>652100.86</v>
      </c>
      <c r="E7" s="368">
        <v>671663.88</v>
      </c>
      <c r="F7" s="368">
        <v>733322.63</v>
      </c>
      <c r="G7" s="368">
        <v>755322.31</v>
      </c>
      <c r="H7" s="368">
        <v>770428.77</v>
      </c>
      <c r="I7" s="368">
        <v>785837.35</v>
      </c>
      <c r="J7" s="368">
        <v>804412.47</v>
      </c>
      <c r="K7" s="368">
        <v>825600.73</v>
      </c>
      <c r="L7" s="368">
        <v>842112.74</v>
      </c>
      <c r="M7" s="368">
        <v>867376.12</v>
      </c>
      <c r="N7" s="368">
        <v>842827.75</v>
      </c>
      <c r="O7" s="368">
        <v>859684.3</v>
      </c>
      <c r="P7" s="262">
        <f t="shared" si="1"/>
        <v>2057087.37</v>
      </c>
      <c r="Q7" s="262">
        <f t="shared" si="2"/>
        <v>2311588.4300000002</v>
      </c>
      <c r="R7" s="262">
        <f t="shared" si="3"/>
        <v>2472125.94</v>
      </c>
      <c r="S7" s="262">
        <f t="shared" si="4"/>
        <v>2569888.17</v>
      </c>
      <c r="T7" s="262">
        <f t="shared" si="0"/>
        <v>9410689.9100000001</v>
      </c>
      <c r="V7" s="311"/>
    </row>
    <row r="8" spans="1:22" s="144" customFormat="1" ht="27" hidden="1" customHeight="1" outlineLevel="1">
      <c r="A8" s="143" t="s">
        <v>362</v>
      </c>
      <c r="B8" s="143" t="s">
        <v>363</v>
      </c>
      <c r="C8" s="163" t="s">
        <v>355</v>
      </c>
      <c r="D8" s="265">
        <v>2855.99</v>
      </c>
      <c r="E8" s="261">
        <v>2941.67</v>
      </c>
      <c r="F8" s="261">
        <v>2941.67</v>
      </c>
      <c r="G8" s="261">
        <v>2941.67</v>
      </c>
      <c r="H8" s="261">
        <v>3029.91</v>
      </c>
      <c r="I8" s="261">
        <v>3120.81</v>
      </c>
      <c r="J8" s="261">
        <v>3214.43</v>
      </c>
      <c r="K8" s="261">
        <v>3310.86</v>
      </c>
      <c r="L8" s="261">
        <v>3542.62</v>
      </c>
      <c r="M8" s="261">
        <v>3791.45</v>
      </c>
      <c r="N8" s="261">
        <v>3904.32</v>
      </c>
      <c r="O8" s="261">
        <v>4021.45</v>
      </c>
      <c r="P8" s="262">
        <f t="shared" si="1"/>
        <v>8739.33</v>
      </c>
      <c r="Q8" s="262">
        <f t="shared" si="2"/>
        <v>9092.39</v>
      </c>
      <c r="R8" s="262">
        <f t="shared" si="3"/>
        <v>10067.91</v>
      </c>
      <c r="S8" s="262">
        <f t="shared" si="4"/>
        <v>11717.220000000001</v>
      </c>
      <c r="T8" s="262">
        <f t="shared" si="0"/>
        <v>39616.85</v>
      </c>
      <c r="V8" s="311"/>
    </row>
    <row r="9" spans="1:22" s="144" customFormat="1" ht="27" hidden="1" customHeight="1" outlineLevel="1">
      <c r="A9" s="143" t="s">
        <v>364</v>
      </c>
      <c r="B9" s="143" t="s">
        <v>365</v>
      </c>
      <c r="C9" s="163" t="s">
        <v>355</v>
      </c>
      <c r="D9" s="265">
        <v>70449.240000000005</v>
      </c>
      <c r="E9" s="261">
        <v>72891.100000000006</v>
      </c>
      <c r="F9" s="261">
        <v>74411.27</v>
      </c>
      <c r="G9" s="261">
        <v>91273.96</v>
      </c>
      <c r="H9" s="261">
        <v>79504.61</v>
      </c>
      <c r="I9" s="261">
        <v>74788.5</v>
      </c>
      <c r="J9" s="261">
        <v>76897.919999999998</v>
      </c>
      <c r="K9" s="261">
        <v>77733.13</v>
      </c>
      <c r="L9" s="261">
        <v>78651.64</v>
      </c>
      <c r="M9" s="261">
        <v>78353.279999999999</v>
      </c>
      <c r="N9" s="261">
        <v>82088.740000000005</v>
      </c>
      <c r="O9" s="261">
        <v>82893.42</v>
      </c>
      <c r="P9" s="262">
        <f t="shared" si="1"/>
        <v>217751.61000000004</v>
      </c>
      <c r="Q9" s="262">
        <f t="shared" si="2"/>
        <v>245567.07</v>
      </c>
      <c r="R9" s="262">
        <f t="shared" si="3"/>
        <v>233282.69</v>
      </c>
      <c r="S9" s="262">
        <f t="shared" si="4"/>
        <v>243335.44</v>
      </c>
      <c r="T9" s="262">
        <f t="shared" si="0"/>
        <v>939936.81000000017</v>
      </c>
      <c r="V9" s="311"/>
    </row>
    <row r="10" spans="1:22" s="144" customFormat="1" ht="27" hidden="1" customHeight="1" outlineLevel="1">
      <c r="A10" s="143" t="s">
        <v>366</v>
      </c>
      <c r="B10" s="143" t="s">
        <v>367</v>
      </c>
      <c r="C10" s="163" t="s">
        <v>355</v>
      </c>
      <c r="D10" s="265">
        <v>5300</v>
      </c>
      <c r="E10" s="265">
        <v>5300</v>
      </c>
      <c r="F10" s="265">
        <v>5300</v>
      </c>
      <c r="G10" s="265">
        <v>5300</v>
      </c>
      <c r="H10" s="265">
        <v>5300</v>
      </c>
      <c r="I10" s="265">
        <v>5300</v>
      </c>
      <c r="J10" s="265">
        <v>5300</v>
      </c>
      <c r="K10" s="265">
        <v>5300</v>
      </c>
      <c r="L10" s="265">
        <v>5300</v>
      </c>
      <c r="M10" s="265">
        <v>5300</v>
      </c>
      <c r="N10" s="265">
        <v>5300</v>
      </c>
      <c r="O10" s="265">
        <v>5300</v>
      </c>
      <c r="P10" s="262">
        <f t="shared" si="1"/>
        <v>15900</v>
      </c>
      <c r="Q10" s="262">
        <f t="shared" si="2"/>
        <v>15900</v>
      </c>
      <c r="R10" s="262">
        <f t="shared" si="3"/>
        <v>15900</v>
      </c>
      <c r="S10" s="262">
        <f t="shared" si="4"/>
        <v>15900</v>
      </c>
      <c r="T10" s="262">
        <f t="shared" si="0"/>
        <v>63600</v>
      </c>
      <c r="V10" s="311"/>
    </row>
    <row r="11" spans="1:22" s="144" customFormat="1" ht="27" hidden="1" customHeight="1" outlineLevel="1">
      <c r="A11" s="143" t="s">
        <v>368</v>
      </c>
      <c r="B11" s="143" t="s">
        <v>369</v>
      </c>
      <c r="C11" s="163" t="s">
        <v>355</v>
      </c>
      <c r="D11" s="265">
        <v>535742.23</v>
      </c>
      <c r="E11" s="261">
        <v>546457.06999999995</v>
      </c>
      <c r="F11" s="261">
        <v>557386.21</v>
      </c>
      <c r="G11" s="261">
        <v>568533.93999999994</v>
      </c>
      <c r="H11" s="261">
        <v>585589.94999999995</v>
      </c>
      <c r="I11" s="261">
        <v>597301.75</v>
      </c>
      <c r="J11" s="261">
        <v>609247.78</v>
      </c>
      <c r="K11" s="261">
        <v>621432.74</v>
      </c>
      <c r="L11" s="261">
        <v>633861.4</v>
      </c>
      <c r="M11" s="261">
        <v>646538.63</v>
      </c>
      <c r="N11" s="261">
        <v>659469.4</v>
      </c>
      <c r="O11" s="261">
        <v>672658.79</v>
      </c>
      <c r="P11" s="262">
        <f t="shared" si="1"/>
        <v>1639585.5099999998</v>
      </c>
      <c r="Q11" s="262">
        <f t="shared" si="2"/>
        <v>1751425.64</v>
      </c>
      <c r="R11" s="262">
        <f t="shared" si="3"/>
        <v>1864541.92</v>
      </c>
      <c r="S11" s="262">
        <f t="shared" si="4"/>
        <v>1978666.82</v>
      </c>
      <c r="T11" s="262">
        <f t="shared" si="0"/>
        <v>7234219.8900000006</v>
      </c>
      <c r="V11" s="311"/>
    </row>
    <row r="12" spans="1:22" s="144" customFormat="1" ht="27" hidden="1" customHeight="1" outlineLevel="1">
      <c r="A12" s="145" t="s">
        <v>370</v>
      </c>
      <c r="B12" s="145" t="s">
        <v>371</v>
      </c>
      <c r="C12" s="163" t="s">
        <v>355</v>
      </c>
      <c r="D12" s="265" t="s">
        <v>358</v>
      </c>
      <c r="E12" s="261" t="s">
        <v>358</v>
      </c>
      <c r="F12" s="261" t="s">
        <v>358</v>
      </c>
      <c r="G12" s="261" t="s">
        <v>358</v>
      </c>
      <c r="H12" s="261">
        <v>2913718.26</v>
      </c>
      <c r="I12" s="261" t="s">
        <v>358</v>
      </c>
      <c r="J12" s="261" t="s">
        <v>358</v>
      </c>
      <c r="K12" s="261" t="s">
        <v>358</v>
      </c>
      <c r="L12" s="261" t="s">
        <v>358</v>
      </c>
      <c r="M12" s="261" t="s">
        <v>358</v>
      </c>
      <c r="N12" s="261" t="s">
        <v>358</v>
      </c>
      <c r="O12" s="261">
        <v>2913718.26</v>
      </c>
      <c r="P12" s="262">
        <f t="shared" si="1"/>
        <v>0</v>
      </c>
      <c r="Q12" s="262">
        <f t="shared" si="2"/>
        <v>2913718.26</v>
      </c>
      <c r="R12" s="262">
        <f t="shared" si="3"/>
        <v>0</v>
      </c>
      <c r="S12" s="262">
        <f t="shared" si="4"/>
        <v>2913718.26</v>
      </c>
      <c r="T12" s="262">
        <f t="shared" si="0"/>
        <v>5827436.5199999996</v>
      </c>
      <c r="V12" s="311"/>
    </row>
    <row r="13" spans="1:22" s="144" customFormat="1" ht="27" hidden="1" customHeight="1" outlineLevel="1">
      <c r="A13" s="145" t="s">
        <v>372</v>
      </c>
      <c r="B13" s="145" t="s">
        <v>373</v>
      </c>
      <c r="C13" s="163" t="s">
        <v>355</v>
      </c>
      <c r="D13" s="265">
        <v>160820.4</v>
      </c>
      <c r="E13" s="261">
        <v>139324.85</v>
      </c>
      <c r="F13" s="261">
        <v>53979.35</v>
      </c>
      <c r="G13" s="261">
        <v>133480.25</v>
      </c>
      <c r="H13" s="261">
        <v>146828.28</v>
      </c>
      <c r="I13" s="261">
        <v>161511.10999999999</v>
      </c>
      <c r="J13" s="261">
        <v>177662.22</v>
      </c>
      <c r="K13" s="261">
        <v>81538.850000000006</v>
      </c>
      <c r="L13" s="261">
        <v>111236.71</v>
      </c>
      <c r="M13" s="261">
        <v>178874.17</v>
      </c>
      <c r="N13" s="261">
        <v>196761.59</v>
      </c>
      <c r="O13" s="261">
        <v>216437.75</v>
      </c>
      <c r="P13" s="262">
        <f t="shared" si="1"/>
        <v>354124.6</v>
      </c>
      <c r="Q13" s="262">
        <f t="shared" si="2"/>
        <v>441819.64</v>
      </c>
      <c r="R13" s="262">
        <f t="shared" si="3"/>
        <v>370437.78</v>
      </c>
      <c r="S13" s="262">
        <f t="shared" si="4"/>
        <v>592073.51</v>
      </c>
      <c r="T13" s="262">
        <f t="shared" si="0"/>
        <v>1758455.53</v>
      </c>
      <c r="V13" s="311"/>
    </row>
    <row r="14" spans="1:22" s="144" customFormat="1" ht="27" hidden="1" customHeight="1" outlineLevel="1">
      <c r="A14" s="145" t="s">
        <v>374</v>
      </c>
      <c r="B14" s="145" t="s">
        <v>375</v>
      </c>
      <c r="C14" s="163" t="s">
        <v>355</v>
      </c>
      <c r="D14" s="265">
        <v>1278922</v>
      </c>
      <c r="E14" s="261">
        <v>1298826.43</v>
      </c>
      <c r="F14" s="261">
        <v>1397454.03</v>
      </c>
      <c r="G14" s="261">
        <v>1398426.94</v>
      </c>
      <c r="H14" s="261">
        <v>1570005.15</v>
      </c>
      <c r="I14" s="261">
        <v>1403321.19</v>
      </c>
      <c r="J14" s="261">
        <v>1406739.47</v>
      </c>
      <c r="K14" s="261">
        <v>1456304.31</v>
      </c>
      <c r="L14" s="261">
        <v>1479775.96</v>
      </c>
      <c r="M14" s="261">
        <v>1484289.64</v>
      </c>
      <c r="N14" s="261">
        <v>1499337.52</v>
      </c>
      <c r="O14" s="261">
        <v>1685684.74</v>
      </c>
      <c r="P14" s="262">
        <f t="shared" si="1"/>
        <v>3975202.46</v>
      </c>
      <c r="Q14" s="262">
        <f t="shared" si="2"/>
        <v>4371753.2799999993</v>
      </c>
      <c r="R14" s="262">
        <f t="shared" si="3"/>
        <v>4342819.74</v>
      </c>
      <c r="S14" s="262">
        <f t="shared" si="4"/>
        <v>4669311.9000000004</v>
      </c>
      <c r="T14" s="262">
        <f t="shared" si="0"/>
        <v>17359087.379999999</v>
      </c>
      <c r="V14" s="311"/>
    </row>
    <row r="15" spans="1:22" s="144" customFormat="1" ht="27" hidden="1" customHeight="1" outlineLevel="1">
      <c r="A15" s="145" t="s">
        <v>376</v>
      </c>
      <c r="B15" s="143" t="s">
        <v>377</v>
      </c>
      <c r="C15" s="163" t="s">
        <v>355</v>
      </c>
      <c r="D15" s="333"/>
      <c r="E15" s="264" t="s">
        <v>358</v>
      </c>
      <c r="F15" s="264" t="s">
        <v>358</v>
      </c>
      <c r="G15" s="264" t="s">
        <v>358</v>
      </c>
      <c r="H15" s="264" t="s">
        <v>358</v>
      </c>
      <c r="I15" s="264" t="s">
        <v>358</v>
      </c>
      <c r="J15" s="264" t="s">
        <v>358</v>
      </c>
      <c r="K15" s="264" t="s">
        <v>358</v>
      </c>
      <c r="L15" s="264" t="s">
        <v>358</v>
      </c>
      <c r="M15" s="264" t="s">
        <v>358</v>
      </c>
      <c r="N15" s="264" t="s">
        <v>358</v>
      </c>
      <c r="O15" s="264">
        <v>610500</v>
      </c>
      <c r="P15" s="262">
        <f t="shared" si="1"/>
        <v>0</v>
      </c>
      <c r="Q15" s="262">
        <f t="shared" si="2"/>
        <v>0</v>
      </c>
      <c r="R15" s="262">
        <f t="shared" si="3"/>
        <v>0</v>
      </c>
      <c r="S15" s="262">
        <f t="shared" si="4"/>
        <v>610500</v>
      </c>
      <c r="T15" s="262">
        <f t="shared" si="0"/>
        <v>610500</v>
      </c>
      <c r="V15" s="311"/>
    </row>
    <row r="16" spans="1:22" s="144" customFormat="1" ht="27" hidden="1" customHeight="1" outlineLevel="1">
      <c r="A16" s="145"/>
      <c r="B16" s="143" t="s">
        <v>378</v>
      </c>
      <c r="C16" s="163" t="s">
        <v>355</v>
      </c>
      <c r="D16" s="263">
        <v>35960</v>
      </c>
      <c r="E16" s="263">
        <v>35960</v>
      </c>
      <c r="F16" s="263">
        <v>35960</v>
      </c>
      <c r="G16" s="263">
        <v>35960</v>
      </c>
      <c r="H16" s="263">
        <v>35960</v>
      </c>
      <c r="I16" s="263">
        <v>35960</v>
      </c>
      <c r="J16" s="263">
        <v>35960</v>
      </c>
      <c r="K16" s="263">
        <v>35960</v>
      </c>
      <c r="L16" s="263">
        <v>35960</v>
      </c>
      <c r="M16" s="263">
        <v>35960</v>
      </c>
      <c r="N16" s="263">
        <v>35960</v>
      </c>
      <c r="O16" s="263">
        <v>35960</v>
      </c>
      <c r="P16" s="262">
        <f t="shared" si="1"/>
        <v>107880</v>
      </c>
      <c r="Q16" s="262">
        <f t="shared" si="2"/>
        <v>107880</v>
      </c>
      <c r="R16" s="262">
        <f t="shared" si="3"/>
        <v>107880</v>
      </c>
      <c r="S16" s="262">
        <f t="shared" si="4"/>
        <v>107880</v>
      </c>
      <c r="T16" s="262">
        <f t="shared" si="0"/>
        <v>431520</v>
      </c>
      <c r="V16" s="311"/>
    </row>
    <row r="17" spans="1:22" s="144" customFormat="1" ht="27" hidden="1" customHeight="1" outlineLevel="1">
      <c r="A17" s="145" t="s">
        <v>379</v>
      </c>
      <c r="B17" s="160" t="s">
        <v>380</v>
      </c>
      <c r="C17" s="163" t="s">
        <v>355</v>
      </c>
      <c r="D17" s="265" t="s">
        <v>358</v>
      </c>
      <c r="E17" s="261" t="s">
        <v>358</v>
      </c>
      <c r="F17" s="261" t="s">
        <v>358</v>
      </c>
      <c r="G17" s="261" t="s">
        <v>358</v>
      </c>
      <c r="H17" s="261" t="s">
        <v>358</v>
      </c>
      <c r="I17" s="261" t="s">
        <v>358</v>
      </c>
      <c r="J17" s="261" t="s">
        <v>358</v>
      </c>
      <c r="K17" s="261" t="s">
        <v>358</v>
      </c>
      <c r="L17" s="261" t="s">
        <v>358</v>
      </c>
      <c r="M17" s="261" t="s">
        <v>358</v>
      </c>
      <c r="N17" s="261" t="s">
        <v>358</v>
      </c>
      <c r="O17" s="261" t="s">
        <v>358</v>
      </c>
      <c r="P17" s="262">
        <f t="shared" si="1"/>
        <v>0</v>
      </c>
      <c r="Q17" s="262">
        <f t="shared" si="2"/>
        <v>0</v>
      </c>
      <c r="R17" s="262">
        <f t="shared" si="3"/>
        <v>0</v>
      </c>
      <c r="S17" s="262">
        <f t="shared" si="4"/>
        <v>0</v>
      </c>
      <c r="T17" s="262">
        <f t="shared" si="0"/>
        <v>0</v>
      </c>
      <c r="V17" s="311"/>
    </row>
    <row r="18" spans="1:22" s="144" customFormat="1" ht="27" hidden="1" customHeight="1" outlineLevel="1">
      <c r="A18" s="143" t="s">
        <v>381</v>
      </c>
      <c r="B18" s="145" t="s">
        <v>382</v>
      </c>
      <c r="C18" s="163" t="s">
        <v>355</v>
      </c>
      <c r="D18" s="265">
        <v>256163.32</v>
      </c>
      <c r="E18" s="261">
        <v>251560.2</v>
      </c>
      <c r="F18" s="261">
        <v>263249.15000000002</v>
      </c>
      <c r="G18" s="261">
        <v>253892.61</v>
      </c>
      <c r="H18" s="261">
        <v>269126.17</v>
      </c>
      <c r="I18" s="261">
        <v>266132.65999999997</v>
      </c>
      <c r="J18" s="261">
        <v>268327.99</v>
      </c>
      <c r="K18" s="261">
        <v>275253.87</v>
      </c>
      <c r="L18" s="261">
        <v>264777.40000000002</v>
      </c>
      <c r="M18" s="261">
        <v>280714.96000000002</v>
      </c>
      <c r="N18" s="261">
        <v>271178.69</v>
      </c>
      <c r="O18" s="261">
        <v>275257.93</v>
      </c>
      <c r="P18" s="262">
        <f t="shared" si="1"/>
        <v>770972.67</v>
      </c>
      <c r="Q18" s="262">
        <f t="shared" si="2"/>
        <v>789151.44</v>
      </c>
      <c r="R18" s="262">
        <f t="shared" si="3"/>
        <v>808359.26</v>
      </c>
      <c r="S18" s="262">
        <f t="shared" si="4"/>
        <v>827151.58000000007</v>
      </c>
      <c r="T18" s="262">
        <f t="shared" si="0"/>
        <v>3195634.9499999997</v>
      </c>
      <c r="V18" s="311"/>
    </row>
    <row r="19" spans="1:22" s="144" customFormat="1" ht="27" hidden="1" customHeight="1" outlineLevel="1">
      <c r="A19" s="143" t="s">
        <v>383</v>
      </c>
      <c r="B19" s="145" t="s">
        <v>384</v>
      </c>
      <c r="C19" s="163" t="s">
        <v>355</v>
      </c>
      <c r="D19" s="313">
        <v>130861.05</v>
      </c>
      <c r="E19" s="314">
        <v>154137.92000000001</v>
      </c>
      <c r="F19" s="314">
        <v>133971.64000000001</v>
      </c>
      <c r="G19" s="314">
        <v>142169.82</v>
      </c>
      <c r="H19" s="314">
        <v>153938.25</v>
      </c>
      <c r="I19" s="314">
        <v>153108.35999999999</v>
      </c>
      <c r="J19" s="314">
        <v>147475.24</v>
      </c>
      <c r="K19" s="314">
        <v>160632.9</v>
      </c>
      <c r="L19" s="314">
        <v>147889.85</v>
      </c>
      <c r="M19" s="314">
        <v>149739.92000000001</v>
      </c>
      <c r="N19" s="314">
        <v>155705.12</v>
      </c>
      <c r="O19" s="314">
        <v>140186.99</v>
      </c>
      <c r="P19" s="262">
        <f t="shared" si="1"/>
        <v>418970.61000000004</v>
      </c>
      <c r="Q19" s="262">
        <f t="shared" si="2"/>
        <v>449216.43</v>
      </c>
      <c r="R19" s="262">
        <f t="shared" si="3"/>
        <v>455997.99</v>
      </c>
      <c r="S19" s="262">
        <f t="shared" si="4"/>
        <v>445632.03</v>
      </c>
      <c r="T19" s="262">
        <f t="shared" si="0"/>
        <v>1769817.0599999998</v>
      </c>
      <c r="V19" s="311"/>
    </row>
    <row r="20" spans="1:22" s="144" customFormat="1" ht="27" hidden="1" customHeight="1" outlineLevel="1">
      <c r="A20" s="143" t="s">
        <v>385</v>
      </c>
      <c r="B20" s="145" t="s">
        <v>386</v>
      </c>
      <c r="C20" s="226" t="s">
        <v>355</v>
      </c>
      <c r="D20" s="369">
        <v>153831.39000000001</v>
      </c>
      <c r="E20" s="369">
        <v>148132.92000000001</v>
      </c>
      <c r="F20" s="369">
        <v>166035.19</v>
      </c>
      <c r="G20" s="369">
        <v>157036.60999999999</v>
      </c>
      <c r="H20" s="369">
        <v>167529.04</v>
      </c>
      <c r="I20" s="369">
        <v>149106.98000000001</v>
      </c>
      <c r="J20" s="369">
        <v>156943.74</v>
      </c>
      <c r="K20" s="369">
        <v>159729.10999999999</v>
      </c>
      <c r="L20" s="369">
        <v>163080.14000000001</v>
      </c>
      <c r="M20" s="369">
        <v>167573.73000000001</v>
      </c>
      <c r="N20" s="369">
        <v>153219.04</v>
      </c>
      <c r="O20" s="369">
        <v>161766.07999999999</v>
      </c>
      <c r="P20" s="262">
        <f t="shared" si="1"/>
        <v>467999.50000000006</v>
      </c>
      <c r="Q20" s="262">
        <f t="shared" si="2"/>
        <v>473672.63</v>
      </c>
      <c r="R20" s="262">
        <f t="shared" si="3"/>
        <v>479752.99</v>
      </c>
      <c r="S20" s="262">
        <f t="shared" si="4"/>
        <v>482558.85</v>
      </c>
      <c r="T20" s="262">
        <f t="shared" si="0"/>
        <v>1903983.9700000002</v>
      </c>
      <c r="V20" s="311"/>
    </row>
    <row r="21" spans="1:22" s="144" customFormat="1" ht="27" hidden="1" customHeight="1" outlineLevel="1">
      <c r="A21" s="143" t="s">
        <v>387</v>
      </c>
      <c r="B21" s="145" t="s">
        <v>388</v>
      </c>
      <c r="C21" s="226" t="s">
        <v>355</v>
      </c>
      <c r="D21" s="369">
        <v>19350.22</v>
      </c>
      <c r="E21" s="369">
        <v>19350.22</v>
      </c>
      <c r="F21" s="369">
        <v>20124.240000000002</v>
      </c>
      <c r="G21" s="369">
        <v>16770.2</v>
      </c>
      <c r="H21" s="369">
        <v>18447.22</v>
      </c>
      <c r="I21" s="369">
        <v>18294.759999999998</v>
      </c>
      <c r="J21" s="369">
        <v>15245.64</v>
      </c>
      <c r="K21" s="369">
        <v>18852.72</v>
      </c>
      <c r="L21" s="369">
        <v>14139.54</v>
      </c>
      <c r="M21" s="369">
        <v>18852.72</v>
      </c>
      <c r="N21" s="369">
        <v>15710.61</v>
      </c>
      <c r="O21" s="369">
        <v>18852.72</v>
      </c>
      <c r="P21" s="262">
        <f t="shared" si="1"/>
        <v>58824.680000000008</v>
      </c>
      <c r="Q21" s="262">
        <f t="shared" si="2"/>
        <v>53512.179999999993</v>
      </c>
      <c r="R21" s="262">
        <f t="shared" si="3"/>
        <v>48237.9</v>
      </c>
      <c r="S21" s="262">
        <f t="shared" si="4"/>
        <v>53416.05</v>
      </c>
      <c r="T21" s="262">
        <f t="shared" si="0"/>
        <v>213990.81000000003</v>
      </c>
      <c r="V21" s="311"/>
    </row>
    <row r="22" spans="1:22" s="144" customFormat="1" ht="27" hidden="1" customHeight="1" outlineLevel="1">
      <c r="A22" s="143" t="s">
        <v>389</v>
      </c>
      <c r="B22" s="145" t="s">
        <v>390</v>
      </c>
      <c r="C22" s="226" t="s">
        <v>355</v>
      </c>
      <c r="D22" s="369">
        <v>7078.97</v>
      </c>
      <c r="E22" s="369">
        <v>7078.97</v>
      </c>
      <c r="F22" s="369">
        <v>7362.14</v>
      </c>
      <c r="G22" s="369">
        <v>7362.14</v>
      </c>
      <c r="H22" s="369">
        <v>7362.14</v>
      </c>
      <c r="I22" s="369">
        <v>7362.14</v>
      </c>
      <c r="J22" s="369">
        <v>7362.14</v>
      </c>
      <c r="K22" s="369">
        <v>7384.81</v>
      </c>
      <c r="L22" s="369">
        <v>7527.29</v>
      </c>
      <c r="M22" s="369">
        <v>7586.69</v>
      </c>
      <c r="N22" s="369">
        <v>11222.12</v>
      </c>
      <c r="O22" s="369">
        <v>7586.69</v>
      </c>
      <c r="P22" s="262">
        <f t="shared" si="1"/>
        <v>21520.080000000002</v>
      </c>
      <c r="Q22" s="262">
        <f t="shared" si="2"/>
        <v>22086.420000000002</v>
      </c>
      <c r="R22" s="262">
        <f t="shared" si="3"/>
        <v>22274.240000000002</v>
      </c>
      <c r="S22" s="262">
        <f t="shared" si="4"/>
        <v>26395.5</v>
      </c>
      <c r="T22" s="262">
        <f t="shared" si="0"/>
        <v>92276.239999999991</v>
      </c>
      <c r="V22" s="311"/>
    </row>
    <row r="23" spans="1:22" s="144" customFormat="1" ht="27" hidden="1" customHeight="1" outlineLevel="1">
      <c r="A23" s="143" t="s">
        <v>391</v>
      </c>
      <c r="B23" s="143" t="s">
        <v>392</v>
      </c>
      <c r="C23" s="226" t="s">
        <v>355</v>
      </c>
      <c r="D23" s="370">
        <v>108146.02</v>
      </c>
      <c r="E23" s="370">
        <v>108146.02</v>
      </c>
      <c r="F23" s="370">
        <v>112520.24</v>
      </c>
      <c r="G23" s="370">
        <v>112520.24</v>
      </c>
      <c r="H23" s="370">
        <v>112520.24</v>
      </c>
      <c r="I23" s="370">
        <v>112520.24</v>
      </c>
      <c r="J23" s="370">
        <v>112520.24</v>
      </c>
      <c r="K23" s="370">
        <v>123772.26</v>
      </c>
      <c r="L23" s="370">
        <v>123772.26</v>
      </c>
      <c r="M23" s="370">
        <v>123772.26</v>
      </c>
      <c r="N23" s="370">
        <v>123772.26</v>
      </c>
      <c r="O23" s="370">
        <v>123772.26</v>
      </c>
      <c r="P23" s="262">
        <f t="shared" si="1"/>
        <v>328812.28000000003</v>
      </c>
      <c r="Q23" s="262">
        <f t="shared" si="2"/>
        <v>337560.72000000003</v>
      </c>
      <c r="R23" s="262">
        <f t="shared" si="3"/>
        <v>360064.76</v>
      </c>
      <c r="S23" s="262">
        <f t="shared" si="4"/>
        <v>371316.77999999997</v>
      </c>
      <c r="T23" s="262">
        <f t="shared" si="0"/>
        <v>1397754.54</v>
      </c>
      <c r="V23" s="311"/>
    </row>
    <row r="24" spans="1:22" s="144" customFormat="1" ht="27" hidden="1" customHeight="1" outlineLevel="1">
      <c r="A24" s="160" t="s">
        <v>393</v>
      </c>
      <c r="B24" s="160" t="s">
        <v>394</v>
      </c>
      <c r="C24" s="163" t="s">
        <v>355</v>
      </c>
      <c r="D24" s="313" t="s">
        <v>358</v>
      </c>
      <c r="E24" s="314" t="s">
        <v>358</v>
      </c>
      <c r="F24" s="314" t="s">
        <v>358</v>
      </c>
      <c r="G24" s="314" t="s">
        <v>358</v>
      </c>
      <c r="H24" s="314" t="s">
        <v>358</v>
      </c>
      <c r="I24" s="314" t="s">
        <v>358</v>
      </c>
      <c r="J24" s="314" t="s">
        <v>358</v>
      </c>
      <c r="K24" s="314" t="s">
        <v>358</v>
      </c>
      <c r="L24" s="314" t="s">
        <v>358</v>
      </c>
      <c r="M24" s="314" t="s">
        <v>358</v>
      </c>
      <c r="N24" s="314" t="s">
        <v>358</v>
      </c>
      <c r="O24" s="314" t="s">
        <v>358</v>
      </c>
      <c r="P24" s="262">
        <f t="shared" si="1"/>
        <v>0</v>
      </c>
      <c r="Q24" s="262">
        <f t="shared" si="2"/>
        <v>0</v>
      </c>
      <c r="R24" s="262">
        <f t="shared" si="3"/>
        <v>0</v>
      </c>
      <c r="S24" s="262">
        <f t="shared" si="4"/>
        <v>0</v>
      </c>
      <c r="T24" s="262">
        <f t="shared" si="0"/>
        <v>0</v>
      </c>
      <c r="V24" s="311"/>
    </row>
    <row r="25" spans="1:22" s="144" customFormat="1" ht="27" hidden="1" customHeight="1" outlineLevel="1">
      <c r="A25" s="143" t="s">
        <v>395</v>
      </c>
      <c r="B25" s="145" t="s">
        <v>396</v>
      </c>
      <c r="C25" s="226" t="s">
        <v>355</v>
      </c>
      <c r="D25" s="369">
        <v>24024.98</v>
      </c>
      <c r="E25" s="369">
        <v>40562.089999999997</v>
      </c>
      <c r="F25" s="369">
        <v>44895.8</v>
      </c>
      <c r="G25" s="369">
        <v>40492.44</v>
      </c>
      <c r="H25" s="369">
        <v>22903.33</v>
      </c>
      <c r="I25" s="369">
        <v>25955.42</v>
      </c>
      <c r="J25" s="369">
        <v>27010.36</v>
      </c>
      <c r="K25" s="369">
        <v>43237.82</v>
      </c>
      <c r="L25" s="369">
        <v>15770.01</v>
      </c>
      <c r="M25" s="369">
        <v>21127.98</v>
      </c>
      <c r="N25" s="369">
        <v>20249.82</v>
      </c>
      <c r="O25" s="369">
        <v>19430.87</v>
      </c>
      <c r="P25" s="262">
        <f t="shared" si="1"/>
        <v>109482.87</v>
      </c>
      <c r="Q25" s="262">
        <f t="shared" si="2"/>
        <v>89351.19</v>
      </c>
      <c r="R25" s="262">
        <f t="shared" si="3"/>
        <v>86018.189999999988</v>
      </c>
      <c r="S25" s="262">
        <f t="shared" si="4"/>
        <v>60808.67</v>
      </c>
      <c r="T25" s="262">
        <f t="shared" si="0"/>
        <v>345660.92</v>
      </c>
      <c r="V25" s="311"/>
    </row>
    <row r="26" spans="1:22" s="144" customFormat="1" ht="27" hidden="1" customHeight="1" outlineLevel="1">
      <c r="A26" s="143" t="s">
        <v>397</v>
      </c>
      <c r="B26" s="145" t="s">
        <v>398</v>
      </c>
      <c r="C26" s="226" t="s">
        <v>355</v>
      </c>
      <c r="D26" s="369">
        <v>6900</v>
      </c>
      <c r="E26" s="369">
        <v>6900</v>
      </c>
      <c r="F26" s="369">
        <v>6900</v>
      </c>
      <c r="G26" s="369">
        <v>6900</v>
      </c>
      <c r="H26" s="369">
        <v>6900</v>
      </c>
      <c r="I26" s="369">
        <v>6900</v>
      </c>
      <c r="J26" s="369">
        <v>6900</v>
      </c>
      <c r="K26" s="369">
        <v>6900</v>
      </c>
      <c r="L26" s="369">
        <v>6900</v>
      </c>
      <c r="M26" s="369">
        <v>6900</v>
      </c>
      <c r="N26" s="369">
        <v>6900</v>
      </c>
      <c r="O26" s="369">
        <v>6900</v>
      </c>
      <c r="P26" s="262">
        <f t="shared" si="1"/>
        <v>20700</v>
      </c>
      <c r="Q26" s="262">
        <f t="shared" si="2"/>
        <v>20700</v>
      </c>
      <c r="R26" s="262">
        <f t="shared" si="3"/>
        <v>20700</v>
      </c>
      <c r="S26" s="262">
        <f t="shared" si="4"/>
        <v>20700</v>
      </c>
      <c r="T26" s="262">
        <f t="shared" si="0"/>
        <v>82800</v>
      </c>
      <c r="V26" s="311"/>
    </row>
    <row r="27" spans="1:22" s="144" customFormat="1" ht="27" hidden="1" customHeight="1" outlineLevel="1">
      <c r="A27" s="143" t="s">
        <v>399</v>
      </c>
      <c r="B27" s="145" t="s">
        <v>400</v>
      </c>
      <c r="C27" s="226" t="s">
        <v>355</v>
      </c>
      <c r="D27" s="369">
        <v>1150</v>
      </c>
      <c r="E27" s="369">
        <v>1150</v>
      </c>
      <c r="F27" s="369">
        <v>1150</v>
      </c>
      <c r="G27" s="369">
        <v>1150</v>
      </c>
      <c r="H27" s="369">
        <v>1150</v>
      </c>
      <c r="I27" s="369">
        <v>1150</v>
      </c>
      <c r="J27" s="369">
        <v>1150</v>
      </c>
      <c r="K27" s="369">
        <v>1150</v>
      </c>
      <c r="L27" s="369">
        <v>1150</v>
      </c>
      <c r="M27" s="369">
        <v>1150</v>
      </c>
      <c r="N27" s="369">
        <v>1150</v>
      </c>
      <c r="O27" s="369">
        <v>1150</v>
      </c>
      <c r="P27" s="262">
        <f t="shared" si="1"/>
        <v>3450</v>
      </c>
      <c r="Q27" s="262">
        <f t="shared" si="2"/>
        <v>3450</v>
      </c>
      <c r="R27" s="262">
        <f t="shared" si="3"/>
        <v>3450</v>
      </c>
      <c r="S27" s="262">
        <f t="shared" si="4"/>
        <v>3450</v>
      </c>
      <c r="T27" s="262">
        <f t="shared" si="0"/>
        <v>13800</v>
      </c>
      <c r="V27" s="311"/>
    </row>
    <row r="28" spans="1:22" s="144" customFormat="1" ht="27" hidden="1" customHeight="1" outlineLevel="1">
      <c r="A28" s="143" t="s">
        <v>401</v>
      </c>
      <c r="B28" s="145" t="s">
        <v>402</v>
      </c>
      <c r="C28" s="226" t="s">
        <v>355</v>
      </c>
      <c r="D28" s="369">
        <v>7130</v>
      </c>
      <c r="E28" s="369">
        <v>7130</v>
      </c>
      <c r="F28" s="369">
        <v>7130</v>
      </c>
      <c r="G28" s="369">
        <v>7130</v>
      </c>
      <c r="H28" s="369">
        <v>7130</v>
      </c>
      <c r="I28" s="369">
        <v>7130</v>
      </c>
      <c r="J28" s="369">
        <v>7130</v>
      </c>
      <c r="K28" s="369">
        <v>7130</v>
      </c>
      <c r="L28" s="369">
        <v>7130</v>
      </c>
      <c r="M28" s="369">
        <v>7130</v>
      </c>
      <c r="N28" s="369">
        <v>7130</v>
      </c>
      <c r="O28" s="369">
        <v>7130</v>
      </c>
      <c r="P28" s="262">
        <f t="shared" si="1"/>
        <v>21390</v>
      </c>
      <c r="Q28" s="262">
        <f t="shared" si="2"/>
        <v>21390</v>
      </c>
      <c r="R28" s="262">
        <f t="shared" si="3"/>
        <v>21390</v>
      </c>
      <c r="S28" s="262">
        <f t="shared" si="4"/>
        <v>21390</v>
      </c>
      <c r="T28" s="262">
        <f t="shared" si="0"/>
        <v>85560</v>
      </c>
      <c r="V28" s="311"/>
    </row>
    <row r="29" spans="1:22" s="144" customFormat="1" ht="27" hidden="1" customHeight="1" outlineLevel="1">
      <c r="A29" s="143" t="s">
        <v>403</v>
      </c>
      <c r="B29" s="145" t="s">
        <v>404</v>
      </c>
      <c r="C29" s="226" t="s">
        <v>355</v>
      </c>
      <c r="D29" s="369">
        <v>34405.660000000003</v>
      </c>
      <c r="E29" s="369">
        <v>33601.4</v>
      </c>
      <c r="F29" s="369">
        <v>35363.660000000003</v>
      </c>
      <c r="G29" s="369">
        <v>36619.54</v>
      </c>
      <c r="H29" s="369">
        <v>35781.870000000003</v>
      </c>
      <c r="I29" s="369">
        <v>35363.660000000003</v>
      </c>
      <c r="J29" s="369">
        <v>36201.339999999997</v>
      </c>
      <c r="K29" s="369">
        <v>36442.26</v>
      </c>
      <c r="L29" s="369">
        <v>41932.720000000001</v>
      </c>
      <c r="M29" s="369">
        <v>42087.29</v>
      </c>
      <c r="N29" s="369">
        <v>41771.040000000001</v>
      </c>
      <c r="O29" s="369">
        <v>41572.660000000003</v>
      </c>
      <c r="P29" s="262">
        <f t="shared" si="1"/>
        <v>103370.72</v>
      </c>
      <c r="Q29" s="262">
        <f t="shared" si="2"/>
        <v>107765.07</v>
      </c>
      <c r="R29" s="262">
        <f t="shared" si="3"/>
        <v>114576.32000000001</v>
      </c>
      <c r="S29" s="262">
        <f t="shared" si="4"/>
        <v>125430.99</v>
      </c>
      <c r="T29" s="262">
        <f t="shared" si="0"/>
        <v>451143.1</v>
      </c>
      <c r="V29" s="311"/>
    </row>
    <row r="30" spans="1:22" s="144" customFormat="1" ht="27" hidden="1" customHeight="1" outlineLevel="1">
      <c r="A30" s="145" t="s">
        <v>405</v>
      </c>
      <c r="B30" s="143" t="s">
        <v>406</v>
      </c>
      <c r="C30" s="226" t="s">
        <v>355</v>
      </c>
      <c r="D30" s="369">
        <v>5415.11</v>
      </c>
      <c r="E30" s="369">
        <v>6403.42</v>
      </c>
      <c r="F30" s="369">
        <v>5696.99</v>
      </c>
      <c r="G30" s="369">
        <v>5423.19</v>
      </c>
      <c r="H30" s="369">
        <v>4216.26</v>
      </c>
      <c r="I30" s="369">
        <v>5577.84</v>
      </c>
      <c r="J30" s="369">
        <v>5605.84</v>
      </c>
      <c r="K30" s="369">
        <v>5116.53</v>
      </c>
      <c r="L30" s="369">
        <v>4859.05</v>
      </c>
      <c r="M30" s="369">
        <v>5367.33</v>
      </c>
      <c r="N30" s="369">
        <v>5340.28</v>
      </c>
      <c r="O30" s="369">
        <v>5321.25</v>
      </c>
      <c r="P30" s="262">
        <f t="shared" si="1"/>
        <v>17515.519999999997</v>
      </c>
      <c r="Q30" s="262">
        <f t="shared" si="2"/>
        <v>15217.29</v>
      </c>
      <c r="R30" s="262">
        <f t="shared" si="3"/>
        <v>15581.419999999998</v>
      </c>
      <c r="S30" s="262">
        <f t="shared" si="4"/>
        <v>16028.86</v>
      </c>
      <c r="T30" s="262">
        <f t="shared" si="0"/>
        <v>64343.09</v>
      </c>
      <c r="V30" s="311"/>
    </row>
    <row r="31" spans="1:22" s="144" customFormat="1" ht="27" hidden="1" customHeight="1" outlineLevel="1">
      <c r="A31" s="145" t="s">
        <v>407</v>
      </c>
      <c r="B31" s="145" t="s">
        <v>33</v>
      </c>
      <c r="C31" s="226" t="s">
        <v>355</v>
      </c>
      <c r="D31" s="369">
        <v>35527.47</v>
      </c>
      <c r="E31" s="369">
        <v>35527.47</v>
      </c>
      <c r="F31" s="369">
        <v>35527.47</v>
      </c>
      <c r="G31" s="369">
        <v>35527.47</v>
      </c>
      <c r="H31" s="369">
        <v>35527.47</v>
      </c>
      <c r="I31" s="369">
        <v>35527.47</v>
      </c>
      <c r="J31" s="369">
        <v>35527.47</v>
      </c>
      <c r="K31" s="369">
        <v>35527.47</v>
      </c>
      <c r="L31" s="369">
        <v>35527.47</v>
      </c>
      <c r="M31" s="369">
        <v>35527.47</v>
      </c>
      <c r="N31" s="369">
        <v>35527.47</v>
      </c>
      <c r="O31" s="369">
        <v>35527.47</v>
      </c>
      <c r="P31" s="262">
        <f t="shared" si="1"/>
        <v>106582.41</v>
      </c>
      <c r="Q31" s="262">
        <f t="shared" si="2"/>
        <v>106582.41</v>
      </c>
      <c r="R31" s="262">
        <f t="shared" si="3"/>
        <v>106582.41</v>
      </c>
      <c r="S31" s="262">
        <f t="shared" si="4"/>
        <v>106582.41</v>
      </c>
      <c r="T31" s="262">
        <f t="shared" si="0"/>
        <v>426329.6399999999</v>
      </c>
      <c r="V31" s="311"/>
    </row>
    <row r="32" spans="1:22" s="144" customFormat="1" ht="27" hidden="1" customHeight="1" outlineLevel="1">
      <c r="A32" s="145" t="s">
        <v>408</v>
      </c>
      <c r="B32" s="145" t="s">
        <v>409</v>
      </c>
      <c r="C32" s="226" t="s">
        <v>355</v>
      </c>
      <c r="D32" s="369">
        <v>30000</v>
      </c>
      <c r="E32" s="369">
        <v>30000</v>
      </c>
      <c r="F32" s="369">
        <v>30000</v>
      </c>
      <c r="G32" s="369">
        <v>30000</v>
      </c>
      <c r="H32" s="369">
        <v>30000</v>
      </c>
      <c r="I32" s="369">
        <v>30000</v>
      </c>
      <c r="J32" s="369">
        <v>30000</v>
      </c>
      <c r="K32" s="369">
        <v>30000</v>
      </c>
      <c r="L32" s="369">
        <v>30000</v>
      </c>
      <c r="M32" s="369">
        <v>30000</v>
      </c>
      <c r="N32" s="369">
        <v>30000</v>
      </c>
      <c r="O32" s="369">
        <v>30000</v>
      </c>
      <c r="P32" s="262">
        <f t="shared" si="1"/>
        <v>90000</v>
      </c>
      <c r="Q32" s="262">
        <f t="shared" si="2"/>
        <v>90000</v>
      </c>
      <c r="R32" s="262">
        <f t="shared" si="3"/>
        <v>90000</v>
      </c>
      <c r="S32" s="262">
        <f t="shared" si="4"/>
        <v>90000</v>
      </c>
      <c r="T32" s="262">
        <f t="shared" si="0"/>
        <v>360000</v>
      </c>
      <c r="V32" s="311"/>
    </row>
    <row r="33" spans="1:22" s="144" customFormat="1" ht="27" hidden="1" customHeight="1" outlineLevel="1">
      <c r="A33" s="145" t="s">
        <v>410</v>
      </c>
      <c r="B33" s="145" t="s">
        <v>34</v>
      </c>
      <c r="C33" s="226" t="s">
        <v>355</v>
      </c>
      <c r="D33" s="370">
        <v>3442343.06</v>
      </c>
      <c r="E33" s="370">
        <v>3440220.93</v>
      </c>
      <c r="F33" s="370">
        <v>3703345.85</v>
      </c>
      <c r="G33" s="370">
        <v>3761967.84</v>
      </c>
      <c r="H33" s="370">
        <v>3942515.86</v>
      </c>
      <c r="I33" s="370">
        <v>3847213.59</v>
      </c>
      <c r="J33" s="370">
        <v>3816119.28</v>
      </c>
      <c r="K33" s="370">
        <v>4179335.27</v>
      </c>
      <c r="L33" s="370">
        <v>4304715.33</v>
      </c>
      <c r="M33" s="370">
        <v>4347762.4800000004</v>
      </c>
      <c r="N33" s="370">
        <v>4391240.1100000003</v>
      </c>
      <c r="O33" s="370">
        <v>4435152.51</v>
      </c>
      <c r="P33" s="262">
        <f t="shared" si="1"/>
        <v>10585909.84</v>
      </c>
      <c r="Q33" s="262">
        <f t="shared" si="2"/>
        <v>11551697.289999999</v>
      </c>
      <c r="R33" s="262">
        <f t="shared" si="3"/>
        <v>12300169.879999999</v>
      </c>
      <c r="S33" s="262">
        <f t="shared" si="4"/>
        <v>13174155.1</v>
      </c>
      <c r="T33" s="262">
        <f t="shared" si="0"/>
        <v>47611932.109999992</v>
      </c>
      <c r="V33" s="311"/>
    </row>
    <row r="34" spans="1:22" s="144" customFormat="1" ht="27" hidden="1" customHeight="1" outlineLevel="1">
      <c r="A34" s="145" t="s">
        <v>411</v>
      </c>
      <c r="B34" s="145" t="s">
        <v>412</v>
      </c>
      <c r="C34" s="163" t="s">
        <v>355</v>
      </c>
      <c r="D34" s="265" t="s">
        <v>358</v>
      </c>
      <c r="E34" s="261" t="s">
        <v>358</v>
      </c>
      <c r="F34" s="261" t="s">
        <v>358</v>
      </c>
      <c r="G34" s="261" t="s">
        <v>358</v>
      </c>
      <c r="H34" s="261" t="s">
        <v>358</v>
      </c>
      <c r="I34" s="261" t="s">
        <v>358</v>
      </c>
      <c r="J34" s="261" t="s">
        <v>358</v>
      </c>
      <c r="K34" s="261" t="s">
        <v>358</v>
      </c>
      <c r="L34" s="261" t="s">
        <v>358</v>
      </c>
      <c r="M34" s="261" t="s">
        <v>358</v>
      </c>
      <c r="N34" s="261" t="s">
        <v>358</v>
      </c>
      <c r="O34" s="261" t="s">
        <v>358</v>
      </c>
      <c r="P34" s="262">
        <f t="shared" si="1"/>
        <v>0</v>
      </c>
      <c r="Q34" s="262">
        <f t="shared" si="2"/>
        <v>0</v>
      </c>
      <c r="R34" s="262">
        <f t="shared" si="3"/>
        <v>0</v>
      </c>
      <c r="S34" s="262">
        <f t="shared" si="4"/>
        <v>0</v>
      </c>
      <c r="T34" s="262">
        <f t="shared" si="0"/>
        <v>0</v>
      </c>
      <c r="V34" s="311"/>
    </row>
    <row r="35" spans="1:22" s="144" customFormat="1" ht="27" hidden="1" customHeight="1" outlineLevel="1">
      <c r="A35" s="145"/>
      <c r="B35" s="145"/>
      <c r="C35" s="163"/>
      <c r="D35" s="265" t="s">
        <v>358</v>
      </c>
      <c r="E35" s="261" t="s">
        <v>358</v>
      </c>
      <c r="F35" s="261" t="s">
        <v>358</v>
      </c>
      <c r="G35" s="261" t="s">
        <v>358</v>
      </c>
      <c r="H35" s="261" t="s">
        <v>358</v>
      </c>
      <c r="I35" s="261" t="s">
        <v>358</v>
      </c>
      <c r="J35" s="261" t="s">
        <v>358</v>
      </c>
      <c r="K35" s="261" t="s">
        <v>358</v>
      </c>
      <c r="L35" s="261" t="s">
        <v>358</v>
      </c>
      <c r="M35" s="261" t="s">
        <v>358</v>
      </c>
      <c r="N35" s="261" t="s">
        <v>358</v>
      </c>
      <c r="O35" s="261" t="s">
        <v>358</v>
      </c>
      <c r="P35" s="262">
        <f t="shared" si="1"/>
        <v>0</v>
      </c>
      <c r="Q35" s="262">
        <f t="shared" si="2"/>
        <v>0</v>
      </c>
      <c r="R35" s="262">
        <f t="shared" si="3"/>
        <v>0</v>
      </c>
      <c r="S35" s="262">
        <f t="shared" si="4"/>
        <v>0</v>
      </c>
      <c r="T35" s="262">
        <f t="shared" si="0"/>
        <v>0</v>
      </c>
      <c r="V35" s="311"/>
    </row>
    <row r="36" spans="1:22" s="139" customFormat="1" ht="27" customHeight="1" collapsed="1">
      <c r="A36" s="160"/>
      <c r="B36" s="161" t="s">
        <v>35</v>
      </c>
      <c r="C36" s="162"/>
      <c r="D36" s="234">
        <f>SUM(D4:D35)</f>
        <v>8039651.1599999983</v>
      </c>
      <c r="E36" s="234">
        <f t="shared" ref="E36:O36" si="5">SUM(E4:E35)</f>
        <v>8185437.9899999984</v>
      </c>
      <c r="F36" s="234">
        <f t="shared" si="5"/>
        <v>8509081.7100000009</v>
      </c>
      <c r="G36" s="234">
        <f t="shared" si="5"/>
        <v>8655350.9299999997</v>
      </c>
      <c r="H36" s="234">
        <f t="shared" si="5"/>
        <v>11974303.309999999</v>
      </c>
      <c r="I36" s="234">
        <f t="shared" si="5"/>
        <v>8808774.4100000001</v>
      </c>
      <c r="J36" s="234">
        <f t="shared" si="5"/>
        <v>8871112.5199999996</v>
      </c>
      <c r="K36" s="234">
        <f t="shared" si="5"/>
        <v>9250846.4000000004</v>
      </c>
      <c r="L36" s="234">
        <f t="shared" si="5"/>
        <v>9468492.5499999989</v>
      </c>
      <c r="M36" s="234">
        <f t="shared" si="5"/>
        <v>9626817.1500000004</v>
      </c>
      <c r="N36" s="234">
        <f t="shared" si="5"/>
        <v>9662189.6300000027</v>
      </c>
      <c r="O36" s="234">
        <f t="shared" si="5"/>
        <v>13437852.390000001</v>
      </c>
      <c r="P36" s="234">
        <f>SUM(D36:F36)</f>
        <v>24734170.859999999</v>
      </c>
      <c r="Q36" s="234">
        <f>SUM(G36:I36)</f>
        <v>29438428.649999999</v>
      </c>
      <c r="R36" s="234">
        <f>SUM(J36:L36)</f>
        <v>27590451.469999999</v>
      </c>
      <c r="S36" s="234">
        <f>SUM(M36:O36)</f>
        <v>32726859.170000002</v>
      </c>
      <c r="T36" s="234">
        <f>SUM(T4:T35)</f>
        <v>114489910.15000001</v>
      </c>
      <c r="U36" s="417">
        <f>T36/T315</f>
        <v>0.53849883554564604</v>
      </c>
      <c r="V36" s="227"/>
    </row>
    <row r="37" spans="1:22" s="154" customFormat="1" ht="27" customHeight="1">
      <c r="A37" s="158" t="s">
        <v>413</v>
      </c>
      <c r="B37" s="159" t="s">
        <v>414</v>
      </c>
      <c r="C37" s="159" t="s">
        <v>335</v>
      </c>
      <c r="D37" s="366" t="s">
        <v>336</v>
      </c>
      <c r="E37" s="366" t="s">
        <v>337</v>
      </c>
      <c r="F37" s="366" t="s">
        <v>338</v>
      </c>
      <c r="G37" s="366" t="s">
        <v>339</v>
      </c>
      <c r="H37" s="366" t="s">
        <v>340</v>
      </c>
      <c r="I37" s="366" t="s">
        <v>341</v>
      </c>
      <c r="J37" s="366" t="s">
        <v>342</v>
      </c>
      <c r="K37" s="366" t="s">
        <v>343</v>
      </c>
      <c r="L37" s="366" t="s">
        <v>344</v>
      </c>
      <c r="M37" s="366" t="s">
        <v>345</v>
      </c>
      <c r="N37" s="366" t="s">
        <v>346</v>
      </c>
      <c r="O37" s="366" t="s">
        <v>347</v>
      </c>
      <c r="P37" s="202" t="s">
        <v>348</v>
      </c>
      <c r="Q37" s="202" t="s">
        <v>349</v>
      </c>
      <c r="R37" s="202" t="s">
        <v>350</v>
      </c>
      <c r="S37" s="202" t="s">
        <v>351</v>
      </c>
      <c r="T37" s="202" t="s">
        <v>352</v>
      </c>
      <c r="U37" s="371"/>
      <c r="V37" s="184"/>
    </row>
    <row r="38" spans="1:22" s="154" customFormat="1" ht="27" customHeight="1" outlineLevel="1">
      <c r="A38" s="145" t="s">
        <v>415</v>
      </c>
      <c r="B38" s="145" t="s">
        <v>416</v>
      </c>
      <c r="C38" s="226" t="s">
        <v>355</v>
      </c>
      <c r="D38" s="369">
        <v>12884.11</v>
      </c>
      <c r="E38" s="369">
        <v>12884.11</v>
      </c>
      <c r="F38" s="369">
        <v>12884.11</v>
      </c>
      <c r="G38" s="369">
        <v>12884.11</v>
      </c>
      <c r="H38" s="369">
        <v>12884.11</v>
      </c>
      <c r="I38" s="369">
        <v>12884.11</v>
      </c>
      <c r="J38" s="369">
        <v>12884.11</v>
      </c>
      <c r="K38" s="369">
        <v>12884.11</v>
      </c>
      <c r="L38" s="369">
        <v>12884.11</v>
      </c>
      <c r="M38" s="369">
        <v>12884.11</v>
      </c>
      <c r="N38" s="369">
        <v>12884.11</v>
      </c>
      <c r="O38" s="369">
        <v>12884.11</v>
      </c>
      <c r="P38" s="262">
        <f t="shared" ref="P38:P40" si="6">SUM(D38:F38)</f>
        <v>38652.33</v>
      </c>
      <c r="Q38" s="422">
        <f>SUM(G38:I38)</f>
        <v>38652.33</v>
      </c>
      <c r="R38" s="422">
        <f>SUM(J38:L38)</f>
        <v>38652.33</v>
      </c>
      <c r="S38" s="422">
        <f>SUM(M38:O38)</f>
        <v>38652.33</v>
      </c>
      <c r="T38" s="262">
        <f>SUM(D38:O38)</f>
        <v>154609.32</v>
      </c>
      <c r="U38" s="371"/>
      <c r="V38" s="184"/>
    </row>
    <row r="39" spans="1:22" s="154" customFormat="1" ht="27" customHeight="1" outlineLevel="1">
      <c r="A39" s="145" t="s">
        <v>417</v>
      </c>
      <c r="B39" s="145" t="s">
        <v>121</v>
      </c>
      <c r="C39" s="226" t="s">
        <v>355</v>
      </c>
      <c r="D39" s="369">
        <v>30062.9</v>
      </c>
      <c r="E39" s="369">
        <v>30062.9</v>
      </c>
      <c r="F39" s="369">
        <v>30062.9</v>
      </c>
      <c r="G39" s="369">
        <v>30062.9</v>
      </c>
      <c r="H39" s="369">
        <v>30062.9</v>
      </c>
      <c r="I39" s="369">
        <v>30062.9</v>
      </c>
      <c r="J39" s="369">
        <v>30062.9</v>
      </c>
      <c r="K39" s="369">
        <v>30062.9</v>
      </c>
      <c r="L39" s="369">
        <v>30062.9</v>
      </c>
      <c r="M39" s="369">
        <v>30062.9</v>
      </c>
      <c r="N39" s="369">
        <v>30062.9</v>
      </c>
      <c r="O39" s="369">
        <v>30062.9</v>
      </c>
      <c r="P39" s="262">
        <f t="shared" si="6"/>
        <v>90188.700000000012</v>
      </c>
      <c r="Q39" s="422">
        <f t="shared" ref="Q39:Q40" si="7">SUM(G39:I39)</f>
        <v>90188.700000000012</v>
      </c>
      <c r="R39" s="422">
        <f t="shared" ref="R39:R40" si="8">SUM(J39:L39)</f>
        <v>90188.700000000012</v>
      </c>
      <c r="S39" s="422">
        <f t="shared" ref="S39:S40" si="9">SUM(M39:O39)</f>
        <v>90188.700000000012</v>
      </c>
      <c r="T39" s="262">
        <f t="shared" ref="T39:T40" si="10">SUM(D39:O39)</f>
        <v>360754.80000000005</v>
      </c>
      <c r="U39" s="371"/>
      <c r="V39" s="184"/>
    </row>
    <row r="40" spans="1:22" s="154" customFormat="1" ht="27" customHeight="1" outlineLevel="1">
      <c r="A40" s="145" t="s">
        <v>418</v>
      </c>
      <c r="B40" s="145" t="s">
        <v>122</v>
      </c>
      <c r="C40" s="226" t="s">
        <v>355</v>
      </c>
      <c r="D40" s="370">
        <v>12884.11</v>
      </c>
      <c r="E40" s="370">
        <v>12884.11</v>
      </c>
      <c r="F40" s="370">
        <v>12884.11</v>
      </c>
      <c r="G40" s="370">
        <v>12884.11</v>
      </c>
      <c r="H40" s="370">
        <v>12884.11</v>
      </c>
      <c r="I40" s="370">
        <v>12884.11</v>
      </c>
      <c r="J40" s="370">
        <v>12884.11</v>
      </c>
      <c r="K40" s="370">
        <v>12884.11</v>
      </c>
      <c r="L40" s="370">
        <v>12884.11</v>
      </c>
      <c r="M40" s="370">
        <v>12884.11</v>
      </c>
      <c r="N40" s="370">
        <v>12884.11</v>
      </c>
      <c r="O40" s="370">
        <v>12884.11</v>
      </c>
      <c r="P40" s="262">
        <f t="shared" si="6"/>
        <v>38652.33</v>
      </c>
      <c r="Q40" s="422">
        <f t="shared" si="7"/>
        <v>38652.33</v>
      </c>
      <c r="R40" s="422">
        <f t="shared" si="8"/>
        <v>38652.33</v>
      </c>
      <c r="S40" s="422">
        <f t="shared" si="9"/>
        <v>38652.33</v>
      </c>
      <c r="T40" s="262">
        <f t="shared" si="10"/>
        <v>154609.32</v>
      </c>
      <c r="U40" s="371"/>
      <c r="V40" s="184"/>
    </row>
    <row r="41" spans="1:22" s="154" customFormat="1" ht="27" customHeight="1">
      <c r="A41" s="145"/>
      <c r="B41" s="161" t="s">
        <v>45</v>
      </c>
      <c r="C41" s="162"/>
      <c r="D41" s="421">
        <f>SUM(D38:D40)</f>
        <v>55831.12</v>
      </c>
      <c r="E41" s="421">
        <f t="shared" ref="E41:O41" si="11">SUM(E38:E40)</f>
        <v>55831.12</v>
      </c>
      <c r="F41" s="421">
        <f t="shared" si="11"/>
        <v>55831.12</v>
      </c>
      <c r="G41" s="421">
        <f t="shared" si="11"/>
        <v>55831.12</v>
      </c>
      <c r="H41" s="421">
        <f t="shared" si="11"/>
        <v>55831.12</v>
      </c>
      <c r="I41" s="421">
        <f t="shared" si="11"/>
        <v>55831.12</v>
      </c>
      <c r="J41" s="421">
        <f t="shared" si="11"/>
        <v>55831.12</v>
      </c>
      <c r="K41" s="421">
        <f t="shared" si="11"/>
        <v>55831.12</v>
      </c>
      <c r="L41" s="421">
        <f t="shared" si="11"/>
        <v>55831.12</v>
      </c>
      <c r="M41" s="421">
        <f t="shared" si="11"/>
        <v>55831.12</v>
      </c>
      <c r="N41" s="421">
        <f t="shared" si="11"/>
        <v>55831.12</v>
      </c>
      <c r="O41" s="421">
        <f t="shared" si="11"/>
        <v>55831.12</v>
      </c>
      <c r="P41" s="423">
        <f>SUM(D41:F41)</f>
        <v>167493.36000000002</v>
      </c>
      <c r="Q41" s="423">
        <f>SUM(E41:G41)</f>
        <v>167493.36000000002</v>
      </c>
      <c r="R41" s="423">
        <f>SUM(J41:L41)</f>
        <v>167493.36000000002</v>
      </c>
      <c r="S41" s="423">
        <f>SUM(M41:O41)</f>
        <v>167493.36000000002</v>
      </c>
      <c r="T41" s="234">
        <f>SUM(T38:T40)</f>
        <v>669973.44000000006</v>
      </c>
      <c r="U41" s="418">
        <f>T41/T315</f>
        <v>3.1511939944212698E-3</v>
      </c>
      <c r="V41" s="184"/>
    </row>
    <row r="42" spans="1:22" s="139" customFormat="1" ht="27" customHeight="1">
      <c r="A42" s="158" t="s">
        <v>419</v>
      </c>
      <c r="B42" s="159" t="s">
        <v>420</v>
      </c>
      <c r="C42" s="159" t="s">
        <v>335</v>
      </c>
      <c r="D42" s="202" t="s">
        <v>336</v>
      </c>
      <c r="E42" s="202" t="s">
        <v>337</v>
      </c>
      <c r="F42" s="202" t="s">
        <v>338</v>
      </c>
      <c r="G42" s="202" t="s">
        <v>339</v>
      </c>
      <c r="H42" s="202" t="s">
        <v>340</v>
      </c>
      <c r="I42" s="202" t="s">
        <v>341</v>
      </c>
      <c r="J42" s="202" t="s">
        <v>342</v>
      </c>
      <c r="K42" s="202" t="s">
        <v>343</v>
      </c>
      <c r="L42" s="202" t="s">
        <v>344</v>
      </c>
      <c r="M42" s="202" t="s">
        <v>345</v>
      </c>
      <c r="N42" s="202" t="s">
        <v>346</v>
      </c>
      <c r="O42" s="202" t="s">
        <v>347</v>
      </c>
      <c r="P42" s="202" t="s">
        <v>348</v>
      </c>
      <c r="Q42" s="202" t="s">
        <v>349</v>
      </c>
      <c r="R42" s="202" t="s">
        <v>350</v>
      </c>
      <c r="S42" s="202" t="s">
        <v>351</v>
      </c>
      <c r="T42" s="202" t="s">
        <v>352</v>
      </c>
      <c r="U42" s="157"/>
      <c r="V42" s="227"/>
    </row>
    <row r="43" spans="1:22" ht="27" hidden="1" customHeight="1" outlineLevel="1">
      <c r="A43" s="143" t="s">
        <v>421</v>
      </c>
      <c r="B43" s="145" t="s">
        <v>422</v>
      </c>
      <c r="C43" s="146" t="s">
        <v>423</v>
      </c>
      <c r="D43" s="265">
        <v>6250</v>
      </c>
      <c r="E43" s="265">
        <v>6250</v>
      </c>
      <c r="F43" s="265">
        <v>6250</v>
      </c>
      <c r="G43" s="265">
        <v>6250</v>
      </c>
      <c r="H43" s="265">
        <v>6250</v>
      </c>
      <c r="I43" s="265">
        <v>6250</v>
      </c>
      <c r="J43" s="265">
        <v>6250</v>
      </c>
      <c r="K43" s="265">
        <v>6250</v>
      </c>
      <c r="L43" s="265">
        <v>6250</v>
      </c>
      <c r="M43" s="265">
        <v>6250</v>
      </c>
      <c r="N43" s="265">
        <v>6250</v>
      </c>
      <c r="O43" s="265">
        <v>6250</v>
      </c>
      <c r="P43" s="262">
        <f>SUM(D43:F43)</f>
        <v>18750</v>
      </c>
      <c r="Q43" s="262">
        <f>SUM(G43:I43)</f>
        <v>18750</v>
      </c>
      <c r="R43" s="262">
        <f>SUM(J43:L43)</f>
        <v>18750</v>
      </c>
      <c r="S43" s="262">
        <f>SUM(M43:O43)</f>
        <v>18750</v>
      </c>
      <c r="T43" s="262">
        <f t="shared" ref="T43:T57" si="12">SUM(D43:O43)</f>
        <v>75000</v>
      </c>
      <c r="U43" s="416">
        <f>T43/$T$58</f>
        <v>0.16040090816855526</v>
      </c>
    </row>
    <row r="44" spans="1:22" ht="27" hidden="1" customHeight="1" outlineLevel="1">
      <c r="A44" s="143" t="s">
        <v>424</v>
      </c>
      <c r="B44" s="145" t="s">
        <v>425</v>
      </c>
      <c r="C44" s="146" t="s">
        <v>423</v>
      </c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2">
        <f t="shared" ref="P44:P57" si="13">SUM(D44:F44)</f>
        <v>0</v>
      </c>
      <c r="Q44" s="262">
        <f t="shared" ref="Q44:Q57" si="14">SUM(G44:I44)</f>
        <v>0</v>
      </c>
      <c r="R44" s="262">
        <f t="shared" ref="R44:R57" si="15">SUM(J44:L44)</f>
        <v>0</v>
      </c>
      <c r="S44" s="262">
        <f t="shared" ref="S44:S57" si="16">SUM(M44:O44)</f>
        <v>0</v>
      </c>
      <c r="T44" s="262">
        <f t="shared" si="12"/>
        <v>0</v>
      </c>
      <c r="U44" s="416">
        <f t="shared" ref="U44:U57" si="17">T44/$T$58</f>
        <v>0</v>
      </c>
    </row>
    <row r="45" spans="1:22" s="357" customFormat="1" ht="27" hidden="1" customHeight="1" outlineLevel="1">
      <c r="A45" s="143" t="s">
        <v>426</v>
      </c>
      <c r="B45" s="145" t="s">
        <v>427</v>
      </c>
      <c r="C45" s="146"/>
      <c r="D45" s="265"/>
      <c r="E45" s="265"/>
      <c r="F45" s="265"/>
      <c r="G45" s="265"/>
      <c r="H45" s="265"/>
      <c r="I45" s="265"/>
      <c r="J45" s="265"/>
      <c r="K45" s="265">
        <v>5550</v>
      </c>
      <c r="L45" s="265"/>
      <c r="M45" s="265"/>
      <c r="N45" s="265">
        <v>3000</v>
      </c>
      <c r="O45" s="265"/>
      <c r="P45" s="262">
        <f t="shared" si="13"/>
        <v>0</v>
      </c>
      <c r="Q45" s="262">
        <f t="shared" si="14"/>
        <v>0</v>
      </c>
      <c r="R45" s="262">
        <f t="shared" si="15"/>
        <v>5550</v>
      </c>
      <c r="S45" s="262">
        <f t="shared" si="16"/>
        <v>3000</v>
      </c>
      <c r="T45" s="262">
        <f t="shared" si="12"/>
        <v>8550</v>
      </c>
      <c r="U45" s="416">
        <f t="shared" si="17"/>
        <v>1.8285703531215298E-2</v>
      </c>
      <c r="V45" s="358"/>
    </row>
    <row r="46" spans="1:22" s="357" customFormat="1" ht="27" hidden="1" customHeight="1" outlineLevel="1">
      <c r="A46" s="143" t="s">
        <v>428</v>
      </c>
      <c r="B46" s="145" t="s">
        <v>429</v>
      </c>
      <c r="C46" s="146" t="s">
        <v>430</v>
      </c>
      <c r="D46" s="265">
        <v>350</v>
      </c>
      <c r="E46" s="265">
        <v>350</v>
      </c>
      <c r="F46" s="265">
        <v>350</v>
      </c>
      <c r="G46" s="265">
        <v>350</v>
      </c>
      <c r="H46" s="265">
        <v>350</v>
      </c>
      <c r="I46" s="265">
        <v>350</v>
      </c>
      <c r="J46" s="265">
        <v>350</v>
      </c>
      <c r="K46" s="265">
        <v>350</v>
      </c>
      <c r="L46" s="265">
        <v>350</v>
      </c>
      <c r="M46" s="265">
        <v>350</v>
      </c>
      <c r="N46" s="265">
        <v>350</v>
      </c>
      <c r="O46" s="265">
        <v>350</v>
      </c>
      <c r="P46" s="262">
        <f t="shared" si="13"/>
        <v>1050</v>
      </c>
      <c r="Q46" s="262">
        <f t="shared" si="14"/>
        <v>1050</v>
      </c>
      <c r="R46" s="262">
        <f t="shared" si="15"/>
        <v>1050</v>
      </c>
      <c r="S46" s="262">
        <f t="shared" si="16"/>
        <v>1050</v>
      </c>
      <c r="T46" s="262">
        <f t="shared" si="12"/>
        <v>4200</v>
      </c>
      <c r="U46" s="416">
        <f t="shared" si="17"/>
        <v>8.9824508574390949E-3</v>
      </c>
      <c r="V46" s="358"/>
    </row>
    <row r="47" spans="1:22" s="357" customFormat="1" ht="27" hidden="1" customHeight="1" outlineLevel="1">
      <c r="A47" s="143" t="s">
        <v>431</v>
      </c>
      <c r="B47" s="145" t="s">
        <v>432</v>
      </c>
      <c r="C47" s="146" t="s">
        <v>430</v>
      </c>
      <c r="D47" s="265">
        <v>400</v>
      </c>
      <c r="E47" s="265">
        <v>400</v>
      </c>
      <c r="F47" s="265">
        <v>400</v>
      </c>
      <c r="G47" s="265">
        <v>400</v>
      </c>
      <c r="H47" s="265">
        <v>400</v>
      </c>
      <c r="I47" s="265">
        <v>400</v>
      </c>
      <c r="J47" s="265">
        <v>400</v>
      </c>
      <c r="K47" s="265">
        <v>400</v>
      </c>
      <c r="L47" s="265">
        <v>400</v>
      </c>
      <c r="M47" s="265">
        <v>400</v>
      </c>
      <c r="N47" s="265">
        <v>400</v>
      </c>
      <c r="O47" s="265">
        <v>400</v>
      </c>
      <c r="P47" s="262">
        <f t="shared" si="13"/>
        <v>1200</v>
      </c>
      <c r="Q47" s="262">
        <f t="shared" si="14"/>
        <v>1200</v>
      </c>
      <c r="R47" s="262">
        <f t="shared" si="15"/>
        <v>1200</v>
      </c>
      <c r="S47" s="262">
        <f t="shared" si="16"/>
        <v>1200</v>
      </c>
      <c r="T47" s="262">
        <f t="shared" si="12"/>
        <v>4800</v>
      </c>
      <c r="U47" s="416">
        <f t="shared" si="17"/>
        <v>1.0265658122787536E-2</v>
      </c>
      <c r="V47" s="358"/>
    </row>
    <row r="48" spans="1:22" s="357" customFormat="1" ht="27" hidden="1" customHeight="1" outlineLevel="1">
      <c r="A48" s="143" t="s">
        <v>433</v>
      </c>
      <c r="B48" s="145" t="s">
        <v>434</v>
      </c>
      <c r="C48" s="146" t="s">
        <v>435</v>
      </c>
      <c r="D48" s="265">
        <v>2000</v>
      </c>
      <c r="E48" s="265">
        <v>2000</v>
      </c>
      <c r="F48" s="265">
        <v>2000</v>
      </c>
      <c r="G48" s="265">
        <v>2000</v>
      </c>
      <c r="H48" s="265">
        <v>2000</v>
      </c>
      <c r="I48" s="265">
        <v>2000</v>
      </c>
      <c r="J48" s="265">
        <v>2000</v>
      </c>
      <c r="K48" s="265">
        <v>2000</v>
      </c>
      <c r="L48" s="265">
        <v>2000</v>
      </c>
      <c r="M48" s="265">
        <v>2000</v>
      </c>
      <c r="N48" s="265">
        <v>2000</v>
      </c>
      <c r="O48" s="265">
        <v>2000</v>
      </c>
      <c r="P48" s="262">
        <f t="shared" si="13"/>
        <v>6000</v>
      </c>
      <c r="Q48" s="262">
        <f t="shared" si="14"/>
        <v>6000</v>
      </c>
      <c r="R48" s="262">
        <f t="shared" si="15"/>
        <v>6000</v>
      </c>
      <c r="S48" s="262">
        <f t="shared" si="16"/>
        <v>6000</v>
      </c>
      <c r="T48" s="262">
        <f t="shared" si="12"/>
        <v>24000</v>
      </c>
      <c r="U48" s="416">
        <f t="shared" si="17"/>
        <v>5.1328290613937684E-2</v>
      </c>
      <c r="V48" s="358"/>
    </row>
    <row r="49" spans="1:22" ht="27" hidden="1" customHeight="1" outlineLevel="1">
      <c r="A49" s="143" t="s">
        <v>436</v>
      </c>
      <c r="B49" s="145" t="s">
        <v>437</v>
      </c>
      <c r="C49" s="146" t="s">
        <v>438</v>
      </c>
      <c r="D49" s="265"/>
      <c r="E49" s="265"/>
      <c r="F49" s="265">
        <v>4000</v>
      </c>
      <c r="G49" s="265">
        <v>4000</v>
      </c>
      <c r="H49" s="265">
        <v>4000</v>
      </c>
      <c r="I49" s="265">
        <v>4000</v>
      </c>
      <c r="J49" s="265">
        <v>4000</v>
      </c>
      <c r="K49" s="265">
        <v>4000</v>
      </c>
      <c r="L49" s="265">
        <v>4000</v>
      </c>
      <c r="M49" s="265">
        <v>4000</v>
      </c>
      <c r="N49" s="265">
        <v>4000</v>
      </c>
      <c r="O49" s="265">
        <v>4000</v>
      </c>
      <c r="P49" s="262">
        <f t="shared" si="13"/>
        <v>4000</v>
      </c>
      <c r="Q49" s="262">
        <f t="shared" si="14"/>
        <v>12000</v>
      </c>
      <c r="R49" s="262">
        <f t="shared" si="15"/>
        <v>12000</v>
      </c>
      <c r="S49" s="262">
        <f t="shared" si="16"/>
        <v>12000</v>
      </c>
      <c r="T49" s="262">
        <f t="shared" si="12"/>
        <v>40000</v>
      </c>
      <c r="U49" s="416">
        <f t="shared" si="17"/>
        <v>8.5547151023229476E-2</v>
      </c>
    </row>
    <row r="50" spans="1:22" ht="27" hidden="1" customHeight="1" outlineLevel="1">
      <c r="A50" s="143" t="s">
        <v>439</v>
      </c>
      <c r="B50" s="145" t="s">
        <v>440</v>
      </c>
      <c r="C50" s="146" t="s">
        <v>441</v>
      </c>
      <c r="D50" s="265">
        <v>11666</v>
      </c>
      <c r="E50" s="265">
        <v>11666</v>
      </c>
      <c r="F50" s="265">
        <v>11666</v>
      </c>
      <c r="G50" s="265">
        <v>11666</v>
      </c>
      <c r="H50" s="265">
        <v>11666</v>
      </c>
      <c r="I50" s="265">
        <v>11666</v>
      </c>
      <c r="J50" s="265">
        <v>11666</v>
      </c>
      <c r="K50" s="265">
        <v>11666</v>
      </c>
      <c r="L50" s="265">
        <v>11666</v>
      </c>
      <c r="M50" s="265">
        <v>11666</v>
      </c>
      <c r="N50" s="265">
        <v>11666</v>
      </c>
      <c r="O50" s="265">
        <v>11666</v>
      </c>
      <c r="P50" s="262">
        <f t="shared" si="13"/>
        <v>34998</v>
      </c>
      <c r="Q50" s="262">
        <f t="shared" si="14"/>
        <v>34998</v>
      </c>
      <c r="R50" s="262">
        <f t="shared" si="15"/>
        <v>34998</v>
      </c>
      <c r="S50" s="262">
        <f t="shared" si="16"/>
        <v>34998</v>
      </c>
      <c r="T50" s="262">
        <f t="shared" si="12"/>
        <v>139992</v>
      </c>
      <c r="U50" s="416">
        <f t="shared" si="17"/>
        <v>0.29939791915109848</v>
      </c>
    </row>
    <row r="51" spans="1:22" ht="27" hidden="1" customHeight="1" outlineLevel="1">
      <c r="A51" s="143" t="s">
        <v>442</v>
      </c>
      <c r="B51" s="145" t="s">
        <v>443</v>
      </c>
      <c r="C51" s="146" t="s">
        <v>444</v>
      </c>
      <c r="D51" s="265">
        <v>7500</v>
      </c>
      <c r="E51" s="265">
        <v>7500</v>
      </c>
      <c r="F51" s="265">
        <v>7500</v>
      </c>
      <c r="G51" s="265">
        <v>7500</v>
      </c>
      <c r="H51" s="265">
        <v>7500</v>
      </c>
      <c r="I51" s="265">
        <v>7500</v>
      </c>
      <c r="J51" s="265">
        <v>7500</v>
      </c>
      <c r="K51" s="265">
        <v>7500</v>
      </c>
      <c r="L51" s="265">
        <v>7500</v>
      </c>
      <c r="M51" s="265">
        <v>7500</v>
      </c>
      <c r="N51" s="265">
        <v>7500</v>
      </c>
      <c r="O51" s="265">
        <v>7500</v>
      </c>
      <c r="P51" s="262">
        <f t="shared" si="13"/>
        <v>22500</v>
      </c>
      <c r="Q51" s="262">
        <f t="shared" si="14"/>
        <v>22500</v>
      </c>
      <c r="R51" s="262">
        <f t="shared" si="15"/>
        <v>22500</v>
      </c>
      <c r="S51" s="262">
        <f t="shared" si="16"/>
        <v>22500</v>
      </c>
      <c r="T51" s="262">
        <f t="shared" si="12"/>
        <v>90000</v>
      </c>
      <c r="U51" s="416">
        <f t="shared" si="17"/>
        <v>0.1924810898022663</v>
      </c>
    </row>
    <row r="52" spans="1:22" s="276" customFormat="1" ht="27" hidden="1" customHeight="1" outlineLevel="1">
      <c r="A52" s="143" t="s">
        <v>445</v>
      </c>
      <c r="B52" s="145" t="s">
        <v>446</v>
      </c>
      <c r="C52" s="146" t="s">
        <v>447</v>
      </c>
      <c r="D52" s="265">
        <v>1000</v>
      </c>
      <c r="E52" s="265">
        <v>1000</v>
      </c>
      <c r="F52" s="265">
        <v>1000</v>
      </c>
      <c r="G52" s="265">
        <v>1000</v>
      </c>
      <c r="H52" s="265">
        <v>1000</v>
      </c>
      <c r="I52" s="265">
        <v>1000</v>
      </c>
      <c r="J52" s="265">
        <v>1000</v>
      </c>
      <c r="K52" s="265">
        <v>1000</v>
      </c>
      <c r="L52" s="265">
        <v>1000</v>
      </c>
      <c r="M52" s="265">
        <v>1000</v>
      </c>
      <c r="N52" s="265">
        <v>1000</v>
      </c>
      <c r="O52" s="265">
        <v>1000</v>
      </c>
      <c r="P52" s="262">
        <f t="shared" si="13"/>
        <v>3000</v>
      </c>
      <c r="Q52" s="262">
        <f t="shared" si="14"/>
        <v>3000</v>
      </c>
      <c r="R52" s="262">
        <f t="shared" si="15"/>
        <v>3000</v>
      </c>
      <c r="S52" s="262">
        <f t="shared" si="16"/>
        <v>3000</v>
      </c>
      <c r="T52" s="262">
        <f t="shared" si="12"/>
        <v>12000</v>
      </c>
      <c r="U52" s="416">
        <f t="shared" si="17"/>
        <v>2.5664145306968842E-2</v>
      </c>
      <c r="V52" s="336"/>
    </row>
    <row r="53" spans="1:22" ht="27" hidden="1" customHeight="1" outlineLevel="1">
      <c r="A53" s="143" t="s">
        <v>448</v>
      </c>
      <c r="B53" s="145" t="s">
        <v>449</v>
      </c>
      <c r="C53" s="146"/>
      <c r="D53" s="265"/>
      <c r="E53" s="265">
        <f>430+370+430+430+645+2580+430+599+1484+1200+1799+940+1200+1999+1799+2570</f>
        <v>18905</v>
      </c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2">
        <f t="shared" si="13"/>
        <v>18905</v>
      </c>
      <c r="Q53" s="262">
        <f t="shared" si="14"/>
        <v>0</v>
      </c>
      <c r="R53" s="262">
        <f t="shared" si="15"/>
        <v>0</v>
      </c>
      <c r="S53" s="262">
        <f t="shared" si="16"/>
        <v>0</v>
      </c>
      <c r="T53" s="262">
        <f t="shared" si="12"/>
        <v>18905</v>
      </c>
      <c r="U53" s="416">
        <f t="shared" si="17"/>
        <v>4.0431722252353829E-2</v>
      </c>
    </row>
    <row r="54" spans="1:22" ht="27" hidden="1" customHeight="1" outlineLevel="1">
      <c r="A54" s="143" t="s">
        <v>450</v>
      </c>
      <c r="B54" s="145" t="s">
        <v>451</v>
      </c>
      <c r="C54" s="146" t="s">
        <v>430</v>
      </c>
      <c r="D54" s="265">
        <v>300</v>
      </c>
      <c r="E54" s="265"/>
      <c r="F54" s="265"/>
      <c r="G54" s="265"/>
      <c r="H54" s="265">
        <v>600</v>
      </c>
      <c r="I54" s="265"/>
      <c r="J54" s="265"/>
      <c r="K54" s="265">
        <v>5680</v>
      </c>
      <c r="L54" s="265">
        <v>2248.4</v>
      </c>
      <c r="M54" s="265"/>
      <c r="N54" s="265"/>
      <c r="O54" s="265">
        <v>700</v>
      </c>
      <c r="P54" s="262">
        <f t="shared" si="13"/>
        <v>300</v>
      </c>
      <c r="Q54" s="262">
        <f t="shared" si="14"/>
        <v>600</v>
      </c>
      <c r="R54" s="262">
        <f t="shared" si="15"/>
        <v>7928.4</v>
      </c>
      <c r="S54" s="262">
        <f t="shared" si="16"/>
        <v>700</v>
      </c>
      <c r="T54" s="262">
        <f t="shared" si="12"/>
        <v>9528.4</v>
      </c>
      <c r="U54" s="416">
        <f t="shared" si="17"/>
        <v>2.0378186845243493E-2</v>
      </c>
    </row>
    <row r="55" spans="1:22" ht="27" hidden="1" customHeight="1" outlineLevel="1">
      <c r="A55" s="143" t="s">
        <v>452</v>
      </c>
      <c r="B55" s="145" t="s">
        <v>453</v>
      </c>
      <c r="C55" s="146" t="s">
        <v>454</v>
      </c>
      <c r="D55" s="265">
        <v>1070.25</v>
      </c>
      <c r="E55" s="265">
        <v>1070.25</v>
      </c>
      <c r="F55" s="265">
        <v>1070.25</v>
      </c>
      <c r="G55" s="265">
        <v>1070.25</v>
      </c>
      <c r="H55" s="265">
        <v>1070.25</v>
      </c>
      <c r="I55" s="265">
        <v>1070.25</v>
      </c>
      <c r="J55" s="265">
        <v>1070.25</v>
      </c>
      <c r="K55" s="265">
        <v>1070.25</v>
      </c>
      <c r="L55" s="265">
        <v>1070.25</v>
      </c>
      <c r="M55" s="265">
        <v>1070.25</v>
      </c>
      <c r="N55" s="265">
        <v>1070.25</v>
      </c>
      <c r="O55" s="265">
        <v>1070.25</v>
      </c>
      <c r="P55" s="262">
        <f t="shared" si="13"/>
        <v>3210.75</v>
      </c>
      <c r="Q55" s="262">
        <f t="shared" si="14"/>
        <v>3210.75</v>
      </c>
      <c r="R55" s="262">
        <f t="shared" si="15"/>
        <v>3210.75</v>
      </c>
      <c r="S55" s="262">
        <f t="shared" si="16"/>
        <v>3210.75</v>
      </c>
      <c r="T55" s="262">
        <f t="shared" si="12"/>
        <v>12843</v>
      </c>
      <c r="U55" s="416">
        <f t="shared" si="17"/>
        <v>2.7467051514783403E-2</v>
      </c>
    </row>
    <row r="56" spans="1:22" ht="27" hidden="1" customHeight="1" outlineLevel="1">
      <c r="A56" s="143" t="s">
        <v>455</v>
      </c>
      <c r="B56" s="145" t="s">
        <v>456</v>
      </c>
      <c r="C56" s="146" t="s">
        <v>457</v>
      </c>
      <c r="D56" s="265"/>
      <c r="E56" s="265"/>
      <c r="F56" s="265">
        <v>600</v>
      </c>
      <c r="G56" s="265"/>
      <c r="H56" s="265"/>
      <c r="I56" s="265">
        <v>600</v>
      </c>
      <c r="J56" s="265"/>
      <c r="K56" s="265"/>
      <c r="L56" s="265">
        <v>600</v>
      </c>
      <c r="M56" s="265"/>
      <c r="N56" s="265"/>
      <c r="O56" s="265"/>
      <c r="P56" s="262">
        <f t="shared" si="13"/>
        <v>600</v>
      </c>
      <c r="Q56" s="262">
        <f t="shared" si="14"/>
        <v>600</v>
      </c>
      <c r="R56" s="262">
        <f t="shared" si="15"/>
        <v>600</v>
      </c>
      <c r="S56" s="262">
        <f t="shared" si="16"/>
        <v>0</v>
      </c>
      <c r="T56" s="262">
        <f t="shared" si="12"/>
        <v>1800</v>
      </c>
      <c r="U56" s="416">
        <f t="shared" si="17"/>
        <v>3.8496217960453261E-3</v>
      </c>
    </row>
    <row r="57" spans="1:22" ht="27" hidden="1" customHeight="1" outlineLevel="1">
      <c r="A57" s="143"/>
      <c r="B57" s="145" t="s">
        <v>458</v>
      </c>
      <c r="C57" s="146" t="s">
        <v>459</v>
      </c>
      <c r="D57" s="265">
        <v>1460</v>
      </c>
      <c r="E57" s="265"/>
      <c r="F57" s="265">
        <v>2500</v>
      </c>
      <c r="G57" s="265"/>
      <c r="H57" s="265">
        <v>2500</v>
      </c>
      <c r="I57" s="265">
        <v>5000</v>
      </c>
      <c r="J57" s="265">
        <v>2500</v>
      </c>
      <c r="K57" s="265">
        <v>2500</v>
      </c>
      <c r="L57" s="265">
        <v>500</v>
      </c>
      <c r="M57" s="265">
        <v>1500</v>
      </c>
      <c r="N57" s="265">
        <v>4000</v>
      </c>
      <c r="O57" s="265">
        <v>3500</v>
      </c>
      <c r="P57" s="262">
        <f t="shared" si="13"/>
        <v>3960</v>
      </c>
      <c r="Q57" s="262">
        <f t="shared" si="14"/>
        <v>7500</v>
      </c>
      <c r="R57" s="262">
        <f t="shared" si="15"/>
        <v>5500</v>
      </c>
      <c r="S57" s="262">
        <f t="shared" si="16"/>
        <v>9000</v>
      </c>
      <c r="T57" s="262">
        <f t="shared" si="12"/>
        <v>25960</v>
      </c>
      <c r="U57" s="416">
        <f t="shared" si="17"/>
        <v>5.5520101014075923E-2</v>
      </c>
    </row>
    <row r="58" spans="1:22" s="139" customFormat="1" ht="27" customHeight="1" collapsed="1">
      <c r="A58" s="160"/>
      <c r="B58" s="161" t="s">
        <v>55</v>
      </c>
      <c r="C58" s="162"/>
      <c r="D58" s="234">
        <f>SUM(D43:D57)</f>
        <v>31996.25</v>
      </c>
      <c r="E58" s="234">
        <f t="shared" ref="E58:O58" si="18">SUM(E43:E57)</f>
        <v>49141.25</v>
      </c>
      <c r="F58" s="234">
        <f t="shared" si="18"/>
        <v>37336.25</v>
      </c>
      <c r="G58" s="234">
        <f t="shared" si="18"/>
        <v>34236.25</v>
      </c>
      <c r="H58" s="234">
        <f t="shared" si="18"/>
        <v>37336.25</v>
      </c>
      <c r="I58" s="234">
        <f t="shared" si="18"/>
        <v>39836.25</v>
      </c>
      <c r="J58" s="234">
        <f t="shared" si="18"/>
        <v>36736.25</v>
      </c>
      <c r="K58" s="234">
        <f t="shared" si="18"/>
        <v>47966.25</v>
      </c>
      <c r="L58" s="234">
        <f t="shared" si="18"/>
        <v>37584.65</v>
      </c>
      <c r="M58" s="234">
        <f t="shared" si="18"/>
        <v>35736.25</v>
      </c>
      <c r="N58" s="234">
        <f t="shared" si="18"/>
        <v>41236.25</v>
      </c>
      <c r="O58" s="234">
        <f t="shared" si="18"/>
        <v>38436.25</v>
      </c>
      <c r="P58" s="234">
        <f t="shared" ref="P58" si="19">SUM(D58:F58)</f>
        <v>118473.75</v>
      </c>
      <c r="Q58" s="234">
        <f t="shared" ref="Q58" si="20">SUM(G58:I58)</f>
        <v>111408.75</v>
      </c>
      <c r="R58" s="234">
        <f t="shared" ref="R58" si="21">SUM(J58:L58)</f>
        <v>122287.15</v>
      </c>
      <c r="S58" s="234">
        <f t="shared" ref="S58" si="22">SUM(M58:O58)</f>
        <v>115408.75</v>
      </c>
      <c r="T58" s="234">
        <f>SUM(T43:T57)</f>
        <v>467578.4</v>
      </c>
      <c r="U58" s="419">
        <f>T58/T315</f>
        <v>2.1992368025829591E-3</v>
      </c>
      <c r="V58" s="227"/>
    </row>
    <row r="59" spans="1:22" s="139" customFormat="1" ht="27" customHeight="1">
      <c r="A59" s="158" t="s">
        <v>460</v>
      </c>
      <c r="B59" s="159" t="s">
        <v>461</v>
      </c>
      <c r="C59" s="159" t="s">
        <v>335</v>
      </c>
      <c r="D59" s="202" t="s">
        <v>336</v>
      </c>
      <c r="E59" s="202" t="s">
        <v>337</v>
      </c>
      <c r="F59" s="202" t="s">
        <v>338</v>
      </c>
      <c r="G59" s="202" t="s">
        <v>339</v>
      </c>
      <c r="H59" s="202" t="s">
        <v>340</v>
      </c>
      <c r="I59" s="202" t="s">
        <v>341</v>
      </c>
      <c r="J59" s="202" t="s">
        <v>342</v>
      </c>
      <c r="K59" s="202" t="s">
        <v>343</v>
      </c>
      <c r="L59" s="202" t="s">
        <v>344</v>
      </c>
      <c r="M59" s="202" t="s">
        <v>345</v>
      </c>
      <c r="N59" s="202" t="s">
        <v>346</v>
      </c>
      <c r="O59" s="202" t="s">
        <v>347</v>
      </c>
      <c r="P59" s="202" t="s">
        <v>348</v>
      </c>
      <c r="Q59" s="202" t="s">
        <v>349</v>
      </c>
      <c r="R59" s="202" t="s">
        <v>350</v>
      </c>
      <c r="S59" s="202" t="s">
        <v>351</v>
      </c>
      <c r="T59" s="202" t="s">
        <v>352</v>
      </c>
      <c r="U59" s="157"/>
      <c r="V59" s="227"/>
    </row>
    <row r="60" spans="1:22" ht="27" hidden="1" customHeight="1" outlineLevel="1">
      <c r="A60" s="143" t="s">
        <v>462</v>
      </c>
      <c r="B60" s="143" t="s">
        <v>463</v>
      </c>
      <c r="C60" s="163" t="s">
        <v>355</v>
      </c>
      <c r="D60" s="266">
        <v>270</v>
      </c>
      <c r="E60" s="267">
        <v>270</v>
      </c>
      <c r="F60" s="267">
        <v>270</v>
      </c>
      <c r="G60" s="267">
        <v>270</v>
      </c>
      <c r="H60" s="267">
        <v>270</v>
      </c>
      <c r="I60" s="267">
        <v>11270</v>
      </c>
      <c r="J60" s="267">
        <v>270</v>
      </c>
      <c r="K60" s="267">
        <v>270</v>
      </c>
      <c r="L60" s="267">
        <v>270</v>
      </c>
      <c r="M60" s="267">
        <v>270</v>
      </c>
      <c r="N60" s="267">
        <v>270</v>
      </c>
      <c r="O60" s="267">
        <v>11270</v>
      </c>
      <c r="P60" s="262">
        <f t="shared" ref="P60:P72" si="23">SUM(D60:F60)</f>
        <v>810</v>
      </c>
      <c r="Q60" s="262">
        <f t="shared" ref="Q60:Q71" si="24">SUM(E60:G60)</f>
        <v>810</v>
      </c>
      <c r="R60" s="262">
        <f t="shared" ref="R60:R71" si="25">SUM(F60:H60)</f>
        <v>810</v>
      </c>
      <c r="S60" s="262">
        <f t="shared" ref="S60:S71" si="26">SUM(G60:I60)</f>
        <v>11810</v>
      </c>
      <c r="T60" s="261">
        <f t="shared" ref="T60:T71" si="27">SUM(D60:O60)</f>
        <v>25240</v>
      </c>
      <c r="U60" s="144"/>
    </row>
    <row r="61" spans="1:22" ht="27" hidden="1" customHeight="1" outlineLevel="1">
      <c r="A61" s="143" t="s">
        <v>464</v>
      </c>
      <c r="B61" s="143" t="s">
        <v>465</v>
      </c>
      <c r="C61" s="163" t="s">
        <v>355</v>
      </c>
      <c r="D61" s="263">
        <v>6000</v>
      </c>
      <c r="E61" s="263">
        <v>6000</v>
      </c>
      <c r="F61" s="263">
        <v>6000</v>
      </c>
      <c r="G61" s="263">
        <v>6000</v>
      </c>
      <c r="H61" s="263">
        <v>6000</v>
      </c>
      <c r="I61" s="263">
        <v>6000</v>
      </c>
      <c r="J61" s="263">
        <v>6000</v>
      </c>
      <c r="K61" s="263">
        <v>6000</v>
      </c>
      <c r="L61" s="263">
        <v>6000</v>
      </c>
      <c r="M61" s="263">
        <v>6000</v>
      </c>
      <c r="N61" s="263">
        <v>6000</v>
      </c>
      <c r="O61" s="263">
        <v>6000</v>
      </c>
      <c r="P61" s="262">
        <f t="shared" si="23"/>
        <v>18000</v>
      </c>
      <c r="Q61" s="262">
        <f t="shared" si="24"/>
        <v>18000</v>
      </c>
      <c r="R61" s="262">
        <f t="shared" si="25"/>
        <v>18000</v>
      </c>
      <c r="S61" s="262">
        <f t="shared" si="26"/>
        <v>18000</v>
      </c>
      <c r="T61" s="261">
        <f t="shared" si="27"/>
        <v>72000</v>
      </c>
      <c r="U61" s="144"/>
    </row>
    <row r="62" spans="1:22" ht="27" hidden="1" customHeight="1" outlineLevel="1">
      <c r="A62" s="143" t="s">
        <v>466</v>
      </c>
      <c r="B62" s="143" t="s">
        <v>467</v>
      </c>
      <c r="C62" s="163" t="s">
        <v>355</v>
      </c>
      <c r="D62" s="263">
        <v>100000</v>
      </c>
      <c r="E62" s="263">
        <v>100000</v>
      </c>
      <c r="F62" s="263">
        <v>100000</v>
      </c>
      <c r="G62" s="263">
        <v>100000</v>
      </c>
      <c r="H62" s="263">
        <v>100000</v>
      </c>
      <c r="I62" s="263">
        <v>100000</v>
      </c>
      <c r="J62" s="263">
        <v>100000</v>
      </c>
      <c r="K62" s="263">
        <v>100000</v>
      </c>
      <c r="L62" s="263">
        <v>100000</v>
      </c>
      <c r="M62" s="263">
        <v>100000</v>
      </c>
      <c r="N62" s="263">
        <v>100000</v>
      </c>
      <c r="O62" s="263">
        <v>100000</v>
      </c>
      <c r="P62" s="262">
        <f t="shared" si="23"/>
        <v>300000</v>
      </c>
      <c r="Q62" s="262">
        <f t="shared" si="24"/>
        <v>300000</v>
      </c>
      <c r="R62" s="262">
        <f t="shared" si="25"/>
        <v>300000</v>
      </c>
      <c r="S62" s="262">
        <f t="shared" si="26"/>
        <v>300000</v>
      </c>
      <c r="T62" s="261">
        <f t="shared" si="27"/>
        <v>1200000</v>
      </c>
      <c r="U62" s="144"/>
    </row>
    <row r="63" spans="1:22" ht="27" hidden="1" customHeight="1" outlineLevel="1">
      <c r="A63" s="143" t="s">
        <v>468</v>
      </c>
      <c r="B63" s="143" t="s">
        <v>469</v>
      </c>
      <c r="C63" s="163" t="s">
        <v>355</v>
      </c>
      <c r="D63" s="263">
        <v>5500</v>
      </c>
      <c r="E63" s="264">
        <v>5500</v>
      </c>
      <c r="F63" s="264">
        <v>5500</v>
      </c>
      <c r="G63" s="264">
        <v>20000</v>
      </c>
      <c r="H63" s="264">
        <v>5500</v>
      </c>
      <c r="I63" s="264">
        <v>5500</v>
      </c>
      <c r="J63" s="264">
        <v>5500</v>
      </c>
      <c r="K63" s="264">
        <v>5500</v>
      </c>
      <c r="L63" s="264">
        <v>5500</v>
      </c>
      <c r="M63" s="264">
        <v>5500</v>
      </c>
      <c r="N63" s="264">
        <v>5500</v>
      </c>
      <c r="O63" s="264">
        <v>5500</v>
      </c>
      <c r="P63" s="262">
        <f t="shared" si="23"/>
        <v>16500</v>
      </c>
      <c r="Q63" s="262">
        <f t="shared" si="24"/>
        <v>31000</v>
      </c>
      <c r="R63" s="262">
        <f t="shared" si="25"/>
        <v>31000</v>
      </c>
      <c r="S63" s="262">
        <f t="shared" si="26"/>
        <v>31000</v>
      </c>
      <c r="T63" s="261">
        <f t="shared" si="27"/>
        <v>80500</v>
      </c>
      <c r="U63" s="144"/>
    </row>
    <row r="64" spans="1:22" ht="27" hidden="1" customHeight="1" outlineLevel="1">
      <c r="A64" s="143" t="s">
        <v>470</v>
      </c>
      <c r="B64" s="143" t="s">
        <v>471</v>
      </c>
      <c r="C64" s="163" t="s">
        <v>355</v>
      </c>
      <c r="D64" s="263">
        <v>2500</v>
      </c>
      <c r="E64" s="263">
        <v>2500</v>
      </c>
      <c r="F64" s="263">
        <v>2500</v>
      </c>
      <c r="G64" s="263">
        <v>2500</v>
      </c>
      <c r="H64" s="263">
        <v>2500</v>
      </c>
      <c r="I64" s="263">
        <v>2500</v>
      </c>
      <c r="J64" s="263">
        <v>2500</v>
      </c>
      <c r="K64" s="263">
        <v>2500</v>
      </c>
      <c r="L64" s="263">
        <v>2500</v>
      </c>
      <c r="M64" s="263">
        <v>2500</v>
      </c>
      <c r="N64" s="263">
        <v>2500</v>
      </c>
      <c r="O64" s="263">
        <v>2500</v>
      </c>
      <c r="P64" s="262">
        <f t="shared" si="23"/>
        <v>7500</v>
      </c>
      <c r="Q64" s="262">
        <f t="shared" si="24"/>
        <v>7500</v>
      </c>
      <c r="R64" s="262">
        <f t="shared" si="25"/>
        <v>7500</v>
      </c>
      <c r="S64" s="262">
        <f t="shared" si="26"/>
        <v>7500</v>
      </c>
      <c r="T64" s="261">
        <f t="shared" si="27"/>
        <v>30000</v>
      </c>
      <c r="U64" s="144"/>
    </row>
    <row r="65" spans="1:22" ht="27" hidden="1" customHeight="1" outlineLevel="1">
      <c r="A65" s="143" t="s">
        <v>472</v>
      </c>
      <c r="B65" s="143" t="s">
        <v>473</v>
      </c>
      <c r="C65" s="163" t="s">
        <v>355</v>
      </c>
      <c r="D65" s="263">
        <v>1200</v>
      </c>
      <c r="E65" s="263">
        <v>1200</v>
      </c>
      <c r="F65" s="263">
        <v>1200</v>
      </c>
      <c r="G65" s="263">
        <v>1200</v>
      </c>
      <c r="H65" s="263">
        <v>1200</v>
      </c>
      <c r="I65" s="263">
        <v>1200</v>
      </c>
      <c r="J65" s="263">
        <v>1200</v>
      </c>
      <c r="K65" s="263">
        <v>1200</v>
      </c>
      <c r="L65" s="263">
        <v>1200</v>
      </c>
      <c r="M65" s="263">
        <v>1200</v>
      </c>
      <c r="N65" s="263">
        <v>1200</v>
      </c>
      <c r="O65" s="263">
        <v>1200</v>
      </c>
      <c r="P65" s="262">
        <f t="shared" si="23"/>
        <v>3600</v>
      </c>
      <c r="Q65" s="262">
        <f t="shared" si="24"/>
        <v>3600</v>
      </c>
      <c r="R65" s="262">
        <f t="shared" si="25"/>
        <v>3600</v>
      </c>
      <c r="S65" s="262">
        <f t="shared" si="26"/>
        <v>3600</v>
      </c>
      <c r="T65" s="261">
        <f t="shared" si="27"/>
        <v>14400</v>
      </c>
      <c r="U65" s="144"/>
    </row>
    <row r="66" spans="1:22" ht="27" hidden="1" customHeight="1" outlineLevel="1">
      <c r="A66" s="143" t="s">
        <v>474</v>
      </c>
      <c r="B66" s="143" t="s">
        <v>475</v>
      </c>
      <c r="C66" s="163" t="s">
        <v>355</v>
      </c>
      <c r="D66" s="263">
        <v>4500</v>
      </c>
      <c r="E66" s="263">
        <v>4500</v>
      </c>
      <c r="F66" s="263">
        <v>4500</v>
      </c>
      <c r="G66" s="263">
        <v>4500</v>
      </c>
      <c r="H66" s="263">
        <v>4500</v>
      </c>
      <c r="I66" s="263">
        <v>4500</v>
      </c>
      <c r="J66" s="263">
        <v>4500</v>
      </c>
      <c r="K66" s="263">
        <v>4500</v>
      </c>
      <c r="L66" s="263">
        <v>4500</v>
      </c>
      <c r="M66" s="263">
        <v>4500</v>
      </c>
      <c r="N66" s="263">
        <v>4500</v>
      </c>
      <c r="O66" s="263">
        <v>4500</v>
      </c>
      <c r="P66" s="262">
        <f t="shared" si="23"/>
        <v>13500</v>
      </c>
      <c r="Q66" s="262">
        <f t="shared" si="24"/>
        <v>13500</v>
      </c>
      <c r="R66" s="262">
        <f t="shared" si="25"/>
        <v>13500</v>
      </c>
      <c r="S66" s="262">
        <f t="shared" si="26"/>
        <v>13500</v>
      </c>
      <c r="T66" s="261">
        <f t="shared" si="27"/>
        <v>54000</v>
      </c>
      <c r="U66" s="144" t="s">
        <v>476</v>
      </c>
    </row>
    <row r="67" spans="1:22" ht="27" hidden="1" customHeight="1" outlineLevel="1">
      <c r="A67" s="143" t="s">
        <v>477</v>
      </c>
      <c r="B67" s="143" t="s">
        <v>478</v>
      </c>
      <c r="C67" s="163" t="s">
        <v>355</v>
      </c>
      <c r="D67" s="263">
        <v>6000</v>
      </c>
      <c r="E67" s="263">
        <v>6000</v>
      </c>
      <c r="F67" s="263">
        <v>6000</v>
      </c>
      <c r="G67" s="263">
        <v>6000</v>
      </c>
      <c r="H67" s="263">
        <v>6000</v>
      </c>
      <c r="I67" s="263">
        <v>6000</v>
      </c>
      <c r="J67" s="263">
        <v>6000</v>
      </c>
      <c r="K67" s="263">
        <v>6000</v>
      </c>
      <c r="L67" s="263">
        <v>6000</v>
      </c>
      <c r="M67" s="263">
        <v>6000</v>
      </c>
      <c r="N67" s="263">
        <v>6000</v>
      </c>
      <c r="O67" s="263">
        <v>6000</v>
      </c>
      <c r="P67" s="262">
        <f t="shared" si="23"/>
        <v>18000</v>
      </c>
      <c r="Q67" s="262">
        <f t="shared" si="24"/>
        <v>18000</v>
      </c>
      <c r="R67" s="262">
        <f t="shared" si="25"/>
        <v>18000</v>
      </c>
      <c r="S67" s="262">
        <f t="shared" si="26"/>
        <v>18000</v>
      </c>
      <c r="T67" s="261">
        <f t="shared" si="27"/>
        <v>72000</v>
      </c>
      <c r="U67" s="144"/>
    </row>
    <row r="68" spans="1:22" ht="29.25" hidden="1" customHeight="1" outlineLevel="1">
      <c r="A68" s="143" t="s">
        <v>479</v>
      </c>
      <c r="B68" s="143" t="s">
        <v>480</v>
      </c>
      <c r="C68" s="231" t="s">
        <v>430</v>
      </c>
      <c r="D68" s="264">
        <v>1188</v>
      </c>
      <c r="E68" s="373"/>
      <c r="F68" s="373"/>
      <c r="G68" s="374"/>
      <c r="H68" s="373"/>
      <c r="I68" s="264"/>
      <c r="J68" s="264"/>
      <c r="K68" s="264"/>
      <c r="L68" s="264"/>
      <c r="M68" s="264"/>
      <c r="N68" s="264"/>
      <c r="O68" s="264"/>
      <c r="P68" s="262">
        <f t="shared" si="23"/>
        <v>1188</v>
      </c>
      <c r="Q68" s="262">
        <f t="shared" si="24"/>
        <v>0</v>
      </c>
      <c r="R68" s="262">
        <f t="shared" si="25"/>
        <v>0</v>
      </c>
      <c r="S68" s="262">
        <f t="shared" si="26"/>
        <v>0</v>
      </c>
      <c r="T68" s="261">
        <v>802</v>
      </c>
      <c r="U68" s="144"/>
    </row>
    <row r="69" spans="1:22" ht="29.25" hidden="1" customHeight="1" outlineLevel="1">
      <c r="A69" s="143" t="s">
        <v>481</v>
      </c>
      <c r="B69" s="143" t="s">
        <v>482</v>
      </c>
      <c r="C69" s="231" t="s">
        <v>483</v>
      </c>
      <c r="D69" s="264">
        <v>270</v>
      </c>
      <c r="E69" s="264">
        <v>270</v>
      </c>
      <c r="F69" s="264">
        <v>270</v>
      </c>
      <c r="G69" s="264">
        <v>270</v>
      </c>
      <c r="H69" s="264">
        <v>270</v>
      </c>
      <c r="I69" s="264">
        <v>270</v>
      </c>
      <c r="J69" s="264">
        <v>270</v>
      </c>
      <c r="K69" s="264">
        <v>270</v>
      </c>
      <c r="L69" s="264">
        <v>270</v>
      </c>
      <c r="M69" s="264">
        <v>270</v>
      </c>
      <c r="N69" s="264">
        <v>270</v>
      </c>
      <c r="O69" s="264">
        <v>270</v>
      </c>
      <c r="P69" s="262"/>
      <c r="Q69" s="262"/>
      <c r="R69" s="262"/>
      <c r="S69" s="262"/>
      <c r="T69" s="261">
        <f t="shared" si="27"/>
        <v>3240</v>
      </c>
      <c r="U69" s="144"/>
    </row>
    <row r="70" spans="1:22" ht="29.25" hidden="1" customHeight="1" outlineLevel="1">
      <c r="A70" s="143" t="s">
        <v>484</v>
      </c>
      <c r="B70" s="143" t="s">
        <v>485</v>
      </c>
      <c r="C70" s="146" t="s">
        <v>355</v>
      </c>
      <c r="D70" s="375">
        <v>300</v>
      </c>
      <c r="E70" s="375">
        <v>300</v>
      </c>
      <c r="F70" s="375">
        <v>300</v>
      </c>
      <c r="G70" s="375">
        <v>300</v>
      </c>
      <c r="H70" s="375">
        <v>300</v>
      </c>
      <c r="I70" s="375">
        <v>300</v>
      </c>
      <c r="J70" s="375">
        <v>300</v>
      </c>
      <c r="K70" s="375">
        <v>300</v>
      </c>
      <c r="L70" s="375">
        <v>300</v>
      </c>
      <c r="M70" s="375">
        <v>300</v>
      </c>
      <c r="N70" s="375">
        <v>300</v>
      </c>
      <c r="O70" s="375">
        <v>300</v>
      </c>
      <c r="P70" s="262">
        <f t="shared" si="23"/>
        <v>900</v>
      </c>
      <c r="Q70" s="262">
        <f t="shared" si="24"/>
        <v>900</v>
      </c>
      <c r="R70" s="262">
        <f t="shared" si="25"/>
        <v>900</v>
      </c>
      <c r="S70" s="262">
        <f t="shared" si="26"/>
        <v>900</v>
      </c>
      <c r="T70" s="375">
        <f t="shared" si="27"/>
        <v>3600</v>
      </c>
      <c r="U70" s="144"/>
    </row>
    <row r="71" spans="1:22" ht="27" hidden="1" customHeight="1" outlineLevel="1">
      <c r="A71" s="143" t="s">
        <v>486</v>
      </c>
      <c r="B71" s="143" t="s">
        <v>487</v>
      </c>
      <c r="C71" s="146" t="s">
        <v>355</v>
      </c>
      <c r="D71" s="376">
        <v>550</v>
      </c>
      <c r="E71" s="377" t="s">
        <v>358</v>
      </c>
      <c r="F71" s="377"/>
      <c r="G71" s="377" t="s">
        <v>358</v>
      </c>
      <c r="H71" s="377" t="s">
        <v>358</v>
      </c>
      <c r="I71" s="375" t="s">
        <v>358</v>
      </c>
      <c r="J71" s="375" t="s">
        <v>358</v>
      </c>
      <c r="K71" s="375" t="s">
        <v>358</v>
      </c>
      <c r="L71" s="375" t="s">
        <v>358</v>
      </c>
      <c r="M71" s="375" t="s">
        <v>358</v>
      </c>
      <c r="N71" s="375" t="s">
        <v>358</v>
      </c>
      <c r="O71" s="375" t="s">
        <v>358</v>
      </c>
      <c r="P71" s="262">
        <f t="shared" si="23"/>
        <v>550</v>
      </c>
      <c r="Q71" s="262">
        <f t="shared" si="24"/>
        <v>0</v>
      </c>
      <c r="R71" s="262">
        <f t="shared" si="25"/>
        <v>0</v>
      </c>
      <c r="S71" s="262">
        <f t="shared" si="26"/>
        <v>0</v>
      </c>
      <c r="T71" s="375">
        <f t="shared" si="27"/>
        <v>550</v>
      </c>
      <c r="U71" s="144"/>
    </row>
    <row r="72" spans="1:22" s="139" customFormat="1" ht="27" customHeight="1" collapsed="1">
      <c r="A72" s="160"/>
      <c r="B72" s="161" t="s">
        <v>58</v>
      </c>
      <c r="C72" s="162"/>
      <c r="D72" s="234">
        <f>SUM(D60:D71)</f>
        <v>128278</v>
      </c>
      <c r="E72" s="315">
        <f t="shared" ref="E72:O72" si="28">SUM(E60:E71)</f>
        <v>126540</v>
      </c>
      <c r="F72" s="315">
        <f t="shared" si="28"/>
        <v>126540</v>
      </c>
      <c r="G72" s="315">
        <f t="shared" si="28"/>
        <v>141040</v>
      </c>
      <c r="H72" s="315">
        <f t="shared" si="28"/>
        <v>126540</v>
      </c>
      <c r="I72" s="234">
        <f t="shared" si="28"/>
        <v>137540</v>
      </c>
      <c r="J72" s="234">
        <f t="shared" si="28"/>
        <v>126540</v>
      </c>
      <c r="K72" s="234">
        <f t="shared" si="28"/>
        <v>126540</v>
      </c>
      <c r="L72" s="234">
        <f t="shared" si="28"/>
        <v>126540</v>
      </c>
      <c r="M72" s="234">
        <f t="shared" si="28"/>
        <v>126540</v>
      </c>
      <c r="N72" s="234">
        <f t="shared" si="28"/>
        <v>126540</v>
      </c>
      <c r="O72" s="234">
        <f t="shared" si="28"/>
        <v>137540</v>
      </c>
      <c r="P72" s="234">
        <f t="shared" si="23"/>
        <v>381358</v>
      </c>
      <c r="Q72" s="234">
        <f t="shared" ref="Q72" si="29">SUM(G72:I72)</f>
        <v>405120</v>
      </c>
      <c r="R72" s="234">
        <f t="shared" ref="R72" si="30">SUM(J72:L72)</f>
        <v>379620</v>
      </c>
      <c r="S72" s="234">
        <f t="shared" ref="S72" si="31">SUM(M72:O72)</f>
        <v>390620</v>
      </c>
      <c r="T72" s="234">
        <f>SUM(T60:T71)</f>
        <v>1556332</v>
      </c>
      <c r="U72" s="419">
        <f>T72/$T$315</f>
        <v>7.3201469773572564E-3</v>
      </c>
      <c r="V72" s="227"/>
    </row>
    <row r="73" spans="1:22" s="139" customFormat="1" ht="27" customHeight="1">
      <c r="A73" s="158" t="s">
        <v>488</v>
      </c>
      <c r="B73" s="159" t="s">
        <v>489</v>
      </c>
      <c r="C73" s="159" t="s">
        <v>335</v>
      </c>
      <c r="D73" s="202" t="s">
        <v>336</v>
      </c>
      <c r="E73" s="202" t="s">
        <v>337</v>
      </c>
      <c r="F73" s="202" t="s">
        <v>338</v>
      </c>
      <c r="G73" s="202" t="s">
        <v>339</v>
      </c>
      <c r="H73" s="202" t="s">
        <v>340</v>
      </c>
      <c r="I73" s="202" t="s">
        <v>341</v>
      </c>
      <c r="J73" s="202" t="s">
        <v>342</v>
      </c>
      <c r="K73" s="202" t="s">
        <v>343</v>
      </c>
      <c r="L73" s="202" t="s">
        <v>344</v>
      </c>
      <c r="M73" s="202" t="s">
        <v>345</v>
      </c>
      <c r="N73" s="202" t="s">
        <v>346</v>
      </c>
      <c r="O73" s="202" t="s">
        <v>347</v>
      </c>
      <c r="P73" s="202" t="s">
        <v>348</v>
      </c>
      <c r="Q73" s="202" t="s">
        <v>349</v>
      </c>
      <c r="R73" s="202" t="s">
        <v>350</v>
      </c>
      <c r="S73" s="202" t="s">
        <v>351</v>
      </c>
      <c r="T73" s="202" t="s">
        <v>352</v>
      </c>
      <c r="U73" s="157"/>
      <c r="V73" s="227"/>
    </row>
    <row r="74" spans="1:22" s="154" customFormat="1" ht="27" customHeight="1" outlineLevel="1">
      <c r="A74" s="145" t="s">
        <v>490</v>
      </c>
      <c r="B74" s="143" t="s">
        <v>491</v>
      </c>
      <c r="C74" s="163" t="s">
        <v>423</v>
      </c>
      <c r="D74" s="263">
        <v>20000</v>
      </c>
      <c r="E74" s="263">
        <v>20000</v>
      </c>
      <c r="F74" s="263">
        <v>20000</v>
      </c>
      <c r="G74" s="263">
        <v>20000</v>
      </c>
      <c r="H74" s="263">
        <v>20000</v>
      </c>
      <c r="I74" s="263">
        <v>20000</v>
      </c>
      <c r="J74" s="263">
        <v>20000</v>
      </c>
      <c r="K74" s="263">
        <v>20000</v>
      </c>
      <c r="L74" s="263">
        <v>20000</v>
      </c>
      <c r="M74" s="263">
        <v>20000</v>
      </c>
      <c r="N74" s="263">
        <v>20000</v>
      </c>
      <c r="O74" s="263">
        <v>20000</v>
      </c>
      <c r="P74" s="262">
        <f t="shared" ref="P74:P75" si="32">SUM(D74:F74)</f>
        <v>60000</v>
      </c>
      <c r="Q74" s="262">
        <f t="shared" ref="Q74:Q75" si="33">SUM(E74:G74)</f>
        <v>60000</v>
      </c>
      <c r="R74" s="262">
        <f t="shared" ref="R74:R75" si="34">SUM(F74:H74)</f>
        <v>60000</v>
      </c>
      <c r="S74" s="262">
        <f t="shared" ref="S74:S75" si="35">SUM(G74:I74)</f>
        <v>60000</v>
      </c>
      <c r="T74" s="261">
        <f>SUM(D74:O74)</f>
        <v>240000</v>
      </c>
      <c r="U74" s="371"/>
      <c r="V74" s="184"/>
    </row>
    <row r="75" spans="1:22" s="154" customFormat="1" ht="27" customHeight="1" outlineLevel="1">
      <c r="A75" s="143" t="s">
        <v>492</v>
      </c>
      <c r="B75" s="143" t="s">
        <v>493</v>
      </c>
      <c r="C75" s="163" t="s">
        <v>494</v>
      </c>
      <c r="D75" s="263">
        <v>3200</v>
      </c>
      <c r="E75" s="263">
        <v>3500</v>
      </c>
      <c r="F75" s="263">
        <v>3500</v>
      </c>
      <c r="G75" s="263">
        <v>3500</v>
      </c>
      <c r="H75" s="263">
        <v>3500</v>
      </c>
      <c r="I75" s="263">
        <v>3500</v>
      </c>
      <c r="J75" s="263">
        <v>3500</v>
      </c>
      <c r="K75" s="263">
        <v>3500</v>
      </c>
      <c r="L75" s="263">
        <v>3500</v>
      </c>
      <c r="M75" s="263">
        <v>3500</v>
      </c>
      <c r="N75" s="263">
        <v>3500</v>
      </c>
      <c r="O75" s="263">
        <v>3500</v>
      </c>
      <c r="P75" s="262">
        <f t="shared" si="32"/>
        <v>10200</v>
      </c>
      <c r="Q75" s="262">
        <f t="shared" si="33"/>
        <v>10500</v>
      </c>
      <c r="R75" s="262">
        <f t="shared" si="34"/>
        <v>10500</v>
      </c>
      <c r="S75" s="262">
        <f t="shared" si="35"/>
        <v>10500</v>
      </c>
      <c r="T75" s="261">
        <f>SUM(D75:O75)</f>
        <v>41700</v>
      </c>
      <c r="U75" s="371"/>
      <c r="V75" s="184"/>
    </row>
    <row r="76" spans="1:22" s="139" customFormat="1" ht="27" customHeight="1">
      <c r="A76" s="160"/>
      <c r="B76" s="161" t="s">
        <v>72</v>
      </c>
      <c r="C76" s="162"/>
      <c r="D76" s="315">
        <f>SUM(D74:D75)</f>
        <v>23200</v>
      </c>
      <c r="E76" s="315">
        <f t="shared" ref="E76:O76" si="36">SUM(E74:E75)</f>
        <v>23500</v>
      </c>
      <c r="F76" s="315">
        <f t="shared" si="36"/>
        <v>23500</v>
      </c>
      <c r="G76" s="315">
        <f t="shared" si="36"/>
        <v>23500</v>
      </c>
      <c r="H76" s="315">
        <f t="shared" si="36"/>
        <v>23500</v>
      </c>
      <c r="I76" s="315">
        <f t="shared" si="36"/>
        <v>23500</v>
      </c>
      <c r="J76" s="315">
        <f t="shared" si="36"/>
        <v>23500</v>
      </c>
      <c r="K76" s="315">
        <f t="shared" si="36"/>
        <v>23500</v>
      </c>
      <c r="L76" s="315">
        <f t="shared" si="36"/>
        <v>23500</v>
      </c>
      <c r="M76" s="315">
        <f t="shared" si="36"/>
        <v>23500</v>
      </c>
      <c r="N76" s="315">
        <f t="shared" si="36"/>
        <v>23500</v>
      </c>
      <c r="O76" s="315">
        <f t="shared" si="36"/>
        <v>23500</v>
      </c>
      <c r="P76" s="234">
        <f t="shared" ref="P76" si="37">SUM(D76:F76)</f>
        <v>70200</v>
      </c>
      <c r="Q76" s="234">
        <f t="shared" ref="Q76" si="38">SUM(G76:I76)</f>
        <v>70500</v>
      </c>
      <c r="R76" s="234">
        <f t="shared" ref="R76" si="39">SUM(J76:L76)</f>
        <v>70500</v>
      </c>
      <c r="S76" s="234">
        <f t="shared" ref="S76" si="40">SUM(M76:O76)</f>
        <v>70500</v>
      </c>
      <c r="T76" s="234">
        <f>SUM(T74:T75)</f>
        <v>281700</v>
      </c>
      <c r="U76" s="419">
        <f>T76/$T$315</f>
        <v>1.3249649840275334E-3</v>
      </c>
      <c r="V76" s="227"/>
    </row>
    <row r="77" spans="1:22" s="139" customFormat="1" ht="27" customHeight="1">
      <c r="A77" s="158" t="s">
        <v>495</v>
      </c>
      <c r="B77" s="159" t="s">
        <v>496</v>
      </c>
      <c r="C77" s="159" t="s">
        <v>335</v>
      </c>
      <c r="D77" s="202" t="s">
        <v>336</v>
      </c>
      <c r="E77" s="202" t="s">
        <v>337</v>
      </c>
      <c r="F77" s="202" t="s">
        <v>338</v>
      </c>
      <c r="G77" s="202" t="s">
        <v>339</v>
      </c>
      <c r="H77" s="202" t="s">
        <v>340</v>
      </c>
      <c r="I77" s="202" t="s">
        <v>341</v>
      </c>
      <c r="J77" s="202" t="s">
        <v>342</v>
      </c>
      <c r="K77" s="202" t="s">
        <v>343</v>
      </c>
      <c r="L77" s="202" t="s">
        <v>344</v>
      </c>
      <c r="M77" s="202" t="s">
        <v>345</v>
      </c>
      <c r="N77" s="202" t="s">
        <v>346</v>
      </c>
      <c r="O77" s="202" t="s">
        <v>347</v>
      </c>
      <c r="P77" s="202" t="s">
        <v>348</v>
      </c>
      <c r="Q77" s="202" t="s">
        <v>349</v>
      </c>
      <c r="R77" s="202" t="s">
        <v>350</v>
      </c>
      <c r="S77" s="202" t="s">
        <v>351</v>
      </c>
      <c r="T77" s="202" t="s">
        <v>352</v>
      </c>
      <c r="U77" s="157"/>
      <c r="V77" s="227"/>
    </row>
    <row r="78" spans="1:22" ht="27" customHeight="1" outlineLevel="1">
      <c r="A78" s="143" t="s">
        <v>497</v>
      </c>
      <c r="B78" s="143" t="s">
        <v>498</v>
      </c>
      <c r="C78" s="163" t="s">
        <v>355</v>
      </c>
      <c r="D78" s="266">
        <v>3800</v>
      </c>
      <c r="E78" s="266">
        <v>3800</v>
      </c>
      <c r="F78" s="266">
        <v>3800</v>
      </c>
      <c r="G78" s="266">
        <v>3800</v>
      </c>
      <c r="H78" s="266">
        <v>3800</v>
      </c>
      <c r="I78" s="266">
        <v>3800</v>
      </c>
      <c r="J78" s="266">
        <v>3800</v>
      </c>
      <c r="K78" s="266">
        <v>3800</v>
      </c>
      <c r="L78" s="266">
        <v>3800</v>
      </c>
      <c r="M78" s="266">
        <v>3800</v>
      </c>
      <c r="N78" s="266">
        <v>3800</v>
      </c>
      <c r="O78" s="266">
        <v>3800</v>
      </c>
      <c r="P78" s="262">
        <f t="shared" ref="P78:P92" si="41">SUM(D78:F78)</f>
        <v>11400</v>
      </c>
      <c r="Q78" s="262">
        <f t="shared" ref="Q78:Q91" si="42">SUM(E78:G78)</f>
        <v>11400</v>
      </c>
      <c r="R78" s="262">
        <f t="shared" ref="R78:R91" si="43">SUM(F78:H78)</f>
        <v>11400</v>
      </c>
      <c r="S78" s="262">
        <f t="shared" ref="S78:S91" si="44">SUM(G78:I78)</f>
        <v>11400</v>
      </c>
      <c r="T78" s="261">
        <f>SUM(D78:O78)</f>
        <v>45600</v>
      </c>
      <c r="U78" s="144"/>
    </row>
    <row r="79" spans="1:22" ht="27" customHeight="1" outlineLevel="1">
      <c r="A79" s="145" t="s">
        <v>499</v>
      </c>
      <c r="B79" s="143" t="s">
        <v>500</v>
      </c>
      <c r="C79" s="163" t="s">
        <v>355</v>
      </c>
      <c r="D79" s="263"/>
      <c r="E79" s="264">
        <v>2600</v>
      </c>
      <c r="F79" s="264">
        <f>4200+3500+3500</f>
        <v>11200</v>
      </c>
      <c r="G79" s="264">
        <f>3000+2600</f>
        <v>5600</v>
      </c>
      <c r="H79" s="264" t="s">
        <v>358</v>
      </c>
      <c r="I79" s="264" t="s">
        <v>358</v>
      </c>
      <c r="J79" s="264" t="s">
        <v>358</v>
      </c>
      <c r="K79" s="264" t="s">
        <v>358</v>
      </c>
      <c r="L79" s="264"/>
      <c r="M79" s="264" t="s">
        <v>358</v>
      </c>
      <c r="N79" s="264" t="s">
        <v>358</v>
      </c>
      <c r="O79" s="264" t="s">
        <v>358</v>
      </c>
      <c r="P79" s="262">
        <f t="shared" si="41"/>
        <v>13800</v>
      </c>
      <c r="Q79" s="262">
        <f t="shared" si="42"/>
        <v>19400</v>
      </c>
      <c r="R79" s="262">
        <f t="shared" si="43"/>
        <v>16800</v>
      </c>
      <c r="S79" s="262">
        <f t="shared" si="44"/>
        <v>5600</v>
      </c>
      <c r="T79" s="261">
        <f t="shared" ref="T79:T91" si="45">SUM(D79:O79)</f>
        <v>19400</v>
      </c>
      <c r="U79" s="144"/>
    </row>
    <row r="80" spans="1:22" ht="27" customHeight="1" outlineLevel="1">
      <c r="A80" s="143" t="s">
        <v>501</v>
      </c>
      <c r="B80" s="143" t="s">
        <v>502</v>
      </c>
      <c r="C80" s="163" t="s">
        <v>355</v>
      </c>
      <c r="D80" s="264">
        <v>16700</v>
      </c>
      <c r="E80" s="264">
        <v>16700</v>
      </c>
      <c r="F80" s="264">
        <v>16700</v>
      </c>
      <c r="G80" s="264">
        <v>16700</v>
      </c>
      <c r="H80" s="264">
        <v>16700</v>
      </c>
      <c r="I80" s="264">
        <v>16700</v>
      </c>
      <c r="J80" s="264">
        <v>16700</v>
      </c>
      <c r="K80" s="264">
        <v>16700</v>
      </c>
      <c r="L80" s="264">
        <v>16700</v>
      </c>
      <c r="M80" s="264">
        <v>16700</v>
      </c>
      <c r="N80" s="264">
        <v>16700</v>
      </c>
      <c r="O80" s="264">
        <v>16700</v>
      </c>
      <c r="P80" s="264">
        <v>16700</v>
      </c>
      <c r="Q80" s="264">
        <v>16700</v>
      </c>
      <c r="R80" s="264">
        <v>16700</v>
      </c>
      <c r="S80" s="264">
        <v>16700</v>
      </c>
      <c r="T80" s="261">
        <f t="shared" si="45"/>
        <v>200400</v>
      </c>
      <c r="U80" s="144"/>
    </row>
    <row r="81" spans="1:22" ht="27" customHeight="1" outlineLevel="1">
      <c r="A81" s="145" t="s">
        <v>503</v>
      </c>
      <c r="B81" s="143" t="s">
        <v>504</v>
      </c>
      <c r="C81" s="163" t="s">
        <v>355</v>
      </c>
      <c r="D81" s="265">
        <v>13000</v>
      </c>
      <c r="E81" s="265">
        <v>13000</v>
      </c>
      <c r="F81" s="265">
        <v>13000</v>
      </c>
      <c r="G81" s="265">
        <v>13000</v>
      </c>
      <c r="H81" s="265">
        <v>13000</v>
      </c>
      <c r="I81" s="265">
        <v>13000</v>
      </c>
      <c r="J81" s="265">
        <v>13000</v>
      </c>
      <c r="K81" s="265">
        <v>13000</v>
      </c>
      <c r="L81" s="265">
        <v>13000</v>
      </c>
      <c r="M81" s="265">
        <v>13000</v>
      </c>
      <c r="N81" s="265">
        <v>13000</v>
      </c>
      <c r="O81" s="265">
        <v>13000</v>
      </c>
      <c r="P81" s="265">
        <v>13000</v>
      </c>
      <c r="Q81" s="265">
        <v>13000</v>
      </c>
      <c r="R81" s="265">
        <v>13000</v>
      </c>
      <c r="S81" s="265">
        <v>13000</v>
      </c>
      <c r="T81" s="261">
        <f t="shared" si="45"/>
        <v>156000</v>
      </c>
      <c r="U81" s="144"/>
    </row>
    <row r="82" spans="1:22" ht="27" customHeight="1" outlineLevel="1">
      <c r="A82" s="143" t="s">
        <v>505</v>
      </c>
      <c r="B82" s="143" t="s">
        <v>506</v>
      </c>
      <c r="C82" s="163" t="s">
        <v>355</v>
      </c>
      <c r="D82" s="263" t="s">
        <v>358</v>
      </c>
      <c r="E82" s="264" t="s">
        <v>358</v>
      </c>
      <c r="F82" s="264" t="s">
        <v>358</v>
      </c>
      <c r="G82" s="264" t="s">
        <v>358</v>
      </c>
      <c r="H82" s="264" t="s">
        <v>358</v>
      </c>
      <c r="I82" s="264" t="s">
        <v>358</v>
      </c>
      <c r="J82" s="264" t="s">
        <v>358</v>
      </c>
      <c r="K82" s="264" t="s">
        <v>358</v>
      </c>
      <c r="L82" s="264" t="s">
        <v>358</v>
      </c>
      <c r="M82" s="264" t="s">
        <v>358</v>
      </c>
      <c r="N82" s="264" t="s">
        <v>358</v>
      </c>
      <c r="O82" s="264">
        <v>25000</v>
      </c>
      <c r="P82" s="262">
        <f t="shared" si="41"/>
        <v>0</v>
      </c>
      <c r="Q82" s="262">
        <f t="shared" si="42"/>
        <v>0</v>
      </c>
      <c r="R82" s="262">
        <f t="shared" si="43"/>
        <v>0</v>
      </c>
      <c r="S82" s="262">
        <f t="shared" si="44"/>
        <v>0</v>
      </c>
      <c r="T82" s="261">
        <f t="shared" si="45"/>
        <v>25000</v>
      </c>
      <c r="U82" s="144"/>
    </row>
    <row r="83" spans="1:22" ht="27" customHeight="1" outlineLevel="1">
      <c r="A83" s="145" t="s">
        <v>507</v>
      </c>
      <c r="B83" s="143" t="s">
        <v>508</v>
      </c>
      <c r="C83" s="163" t="s">
        <v>355</v>
      </c>
      <c r="D83" s="265">
        <v>4100</v>
      </c>
      <c r="E83" s="265">
        <v>4100</v>
      </c>
      <c r="F83" s="265">
        <v>4100</v>
      </c>
      <c r="G83" s="265">
        <v>4100</v>
      </c>
      <c r="H83" s="265">
        <v>4100</v>
      </c>
      <c r="I83" s="265">
        <v>4100</v>
      </c>
      <c r="J83" s="265">
        <v>4100</v>
      </c>
      <c r="K83" s="265">
        <v>4100</v>
      </c>
      <c r="L83" s="265">
        <v>4100</v>
      </c>
      <c r="M83" s="265">
        <v>4100</v>
      </c>
      <c r="N83" s="265">
        <v>4100</v>
      </c>
      <c r="O83" s="265">
        <v>4100</v>
      </c>
      <c r="P83" s="265">
        <v>4100</v>
      </c>
      <c r="Q83" s="265">
        <v>4100</v>
      </c>
      <c r="R83" s="265">
        <v>4100</v>
      </c>
      <c r="S83" s="265">
        <v>4100</v>
      </c>
      <c r="T83" s="261">
        <f t="shared" si="45"/>
        <v>49200</v>
      </c>
      <c r="U83" s="144"/>
    </row>
    <row r="84" spans="1:22" ht="27" customHeight="1" outlineLevel="1">
      <c r="A84" s="143" t="s">
        <v>509</v>
      </c>
      <c r="B84" s="143" t="s">
        <v>510</v>
      </c>
      <c r="C84" s="163" t="s">
        <v>355</v>
      </c>
      <c r="D84" s="263">
        <v>600</v>
      </c>
      <c r="E84" s="263">
        <v>600</v>
      </c>
      <c r="F84" s="263">
        <v>600</v>
      </c>
      <c r="G84" s="263">
        <v>600</v>
      </c>
      <c r="H84" s="263">
        <v>600</v>
      </c>
      <c r="I84" s="263">
        <v>600</v>
      </c>
      <c r="J84" s="263">
        <v>600</v>
      </c>
      <c r="K84" s="263">
        <v>600</v>
      </c>
      <c r="L84" s="263">
        <v>600</v>
      </c>
      <c r="M84" s="263">
        <v>600</v>
      </c>
      <c r="N84" s="263">
        <v>600</v>
      </c>
      <c r="O84" s="263">
        <v>600</v>
      </c>
      <c r="P84" s="263">
        <v>600</v>
      </c>
      <c r="Q84" s="263">
        <v>600</v>
      </c>
      <c r="R84" s="263">
        <v>600</v>
      </c>
      <c r="S84" s="263">
        <v>600</v>
      </c>
      <c r="T84" s="261">
        <f t="shared" si="45"/>
        <v>7200</v>
      </c>
      <c r="U84" s="144"/>
    </row>
    <row r="85" spans="1:22" ht="27" customHeight="1" outlineLevel="1">
      <c r="A85" s="145" t="s">
        <v>511</v>
      </c>
      <c r="B85" s="143"/>
      <c r="C85" s="163"/>
      <c r="D85" s="263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2">
        <f t="shared" si="41"/>
        <v>0</v>
      </c>
      <c r="Q85" s="262">
        <f t="shared" si="42"/>
        <v>0</v>
      </c>
      <c r="R85" s="262">
        <f t="shared" si="43"/>
        <v>0</v>
      </c>
      <c r="S85" s="262">
        <f t="shared" si="44"/>
        <v>0</v>
      </c>
      <c r="T85" s="261">
        <f t="shared" si="45"/>
        <v>0</v>
      </c>
      <c r="U85" s="144"/>
    </row>
    <row r="86" spans="1:22" ht="27" customHeight="1" outlineLevel="1">
      <c r="A86" s="145" t="s">
        <v>512</v>
      </c>
      <c r="B86" s="143"/>
      <c r="C86" s="163"/>
      <c r="D86" s="263" t="s">
        <v>358</v>
      </c>
      <c r="E86" s="264" t="s">
        <v>358</v>
      </c>
      <c r="F86" s="264" t="s">
        <v>358</v>
      </c>
      <c r="G86" s="264" t="s">
        <v>358</v>
      </c>
      <c r="H86" s="264" t="s">
        <v>358</v>
      </c>
      <c r="I86" s="264" t="s">
        <v>358</v>
      </c>
      <c r="J86" s="264" t="s">
        <v>358</v>
      </c>
      <c r="K86" s="264" t="s">
        <v>358</v>
      </c>
      <c r="L86" s="264" t="s">
        <v>358</v>
      </c>
      <c r="M86" s="264" t="s">
        <v>358</v>
      </c>
      <c r="N86" s="264" t="s">
        <v>358</v>
      </c>
      <c r="O86" s="264" t="s">
        <v>358</v>
      </c>
      <c r="P86" s="262">
        <f t="shared" si="41"/>
        <v>0</v>
      </c>
      <c r="Q86" s="262">
        <f t="shared" si="42"/>
        <v>0</v>
      </c>
      <c r="R86" s="262">
        <f t="shared" si="43"/>
        <v>0</v>
      </c>
      <c r="S86" s="262">
        <f t="shared" si="44"/>
        <v>0</v>
      </c>
      <c r="T86" s="261">
        <f t="shared" si="45"/>
        <v>0</v>
      </c>
      <c r="U86" s="144"/>
    </row>
    <row r="87" spans="1:22" ht="27" customHeight="1" outlineLevel="1">
      <c r="A87" s="143" t="s">
        <v>513</v>
      </c>
      <c r="B87" s="143"/>
      <c r="C87" s="163"/>
      <c r="D87" s="263" t="s">
        <v>358</v>
      </c>
      <c r="E87" s="264" t="s">
        <v>358</v>
      </c>
      <c r="F87" s="264" t="s">
        <v>358</v>
      </c>
      <c r="G87" s="264" t="s">
        <v>358</v>
      </c>
      <c r="H87" s="264" t="s">
        <v>358</v>
      </c>
      <c r="I87" s="264" t="s">
        <v>358</v>
      </c>
      <c r="J87" s="264" t="s">
        <v>358</v>
      </c>
      <c r="K87" s="264" t="s">
        <v>358</v>
      </c>
      <c r="L87" s="264" t="s">
        <v>358</v>
      </c>
      <c r="M87" s="264" t="s">
        <v>358</v>
      </c>
      <c r="N87" s="264" t="s">
        <v>358</v>
      </c>
      <c r="O87" s="264" t="s">
        <v>358</v>
      </c>
      <c r="P87" s="262">
        <f t="shared" si="41"/>
        <v>0</v>
      </c>
      <c r="Q87" s="262">
        <f t="shared" si="42"/>
        <v>0</v>
      </c>
      <c r="R87" s="262">
        <f t="shared" si="43"/>
        <v>0</v>
      </c>
      <c r="S87" s="262">
        <f t="shared" si="44"/>
        <v>0</v>
      </c>
      <c r="T87" s="261">
        <f>SUM(D87:O87)</f>
        <v>0</v>
      </c>
      <c r="U87" s="144"/>
    </row>
    <row r="88" spans="1:22" ht="27" customHeight="1" outlineLevel="1">
      <c r="A88" s="145" t="s">
        <v>514</v>
      </c>
      <c r="B88" s="143"/>
      <c r="C88" s="163"/>
      <c r="D88" s="263" t="s">
        <v>358</v>
      </c>
      <c r="E88" s="264" t="s">
        <v>358</v>
      </c>
      <c r="F88" s="264" t="s">
        <v>358</v>
      </c>
      <c r="G88" s="264" t="s">
        <v>358</v>
      </c>
      <c r="H88" s="264" t="s">
        <v>358</v>
      </c>
      <c r="I88" s="264" t="s">
        <v>358</v>
      </c>
      <c r="J88" s="264" t="s">
        <v>358</v>
      </c>
      <c r="K88" s="264" t="s">
        <v>358</v>
      </c>
      <c r="L88" s="264" t="s">
        <v>358</v>
      </c>
      <c r="M88" s="264" t="s">
        <v>358</v>
      </c>
      <c r="N88" s="264" t="s">
        <v>358</v>
      </c>
      <c r="O88" s="264" t="s">
        <v>358</v>
      </c>
      <c r="P88" s="262">
        <f t="shared" si="41"/>
        <v>0</v>
      </c>
      <c r="Q88" s="262">
        <f t="shared" si="42"/>
        <v>0</v>
      </c>
      <c r="R88" s="262">
        <f t="shared" si="43"/>
        <v>0</v>
      </c>
      <c r="S88" s="262">
        <f t="shared" si="44"/>
        <v>0</v>
      </c>
      <c r="T88" s="261">
        <f t="shared" si="45"/>
        <v>0</v>
      </c>
      <c r="U88" s="144"/>
    </row>
    <row r="89" spans="1:22" ht="27" customHeight="1" outlineLevel="1">
      <c r="A89" s="143" t="s">
        <v>515</v>
      </c>
      <c r="B89" s="143"/>
      <c r="C89" s="163"/>
      <c r="D89" s="265" t="s">
        <v>358</v>
      </c>
      <c r="E89" s="264" t="s">
        <v>358</v>
      </c>
      <c r="F89" s="264" t="s">
        <v>358</v>
      </c>
      <c r="G89" s="264" t="s">
        <v>358</v>
      </c>
      <c r="H89" s="264" t="s">
        <v>358</v>
      </c>
      <c r="I89" s="264" t="s">
        <v>358</v>
      </c>
      <c r="J89" s="264" t="s">
        <v>358</v>
      </c>
      <c r="K89" s="264" t="s">
        <v>358</v>
      </c>
      <c r="L89" s="264" t="s">
        <v>358</v>
      </c>
      <c r="M89" s="264" t="s">
        <v>358</v>
      </c>
      <c r="N89" s="264" t="s">
        <v>358</v>
      </c>
      <c r="O89" s="264" t="s">
        <v>358</v>
      </c>
      <c r="P89" s="262">
        <f t="shared" si="41"/>
        <v>0</v>
      </c>
      <c r="Q89" s="262">
        <f t="shared" si="42"/>
        <v>0</v>
      </c>
      <c r="R89" s="262">
        <f t="shared" si="43"/>
        <v>0</v>
      </c>
      <c r="S89" s="262">
        <f t="shared" si="44"/>
        <v>0</v>
      </c>
      <c r="T89" s="261">
        <f t="shared" si="45"/>
        <v>0</v>
      </c>
      <c r="U89" s="144"/>
    </row>
    <row r="90" spans="1:22" ht="27" customHeight="1" outlineLevel="1">
      <c r="A90" s="145" t="s">
        <v>516</v>
      </c>
      <c r="B90" s="143"/>
      <c r="C90" s="163"/>
      <c r="D90" s="265" t="s">
        <v>358</v>
      </c>
      <c r="E90" s="264" t="s">
        <v>358</v>
      </c>
      <c r="F90" s="264" t="s">
        <v>358</v>
      </c>
      <c r="G90" s="264" t="s">
        <v>358</v>
      </c>
      <c r="H90" s="264" t="s">
        <v>358</v>
      </c>
      <c r="I90" s="264" t="s">
        <v>358</v>
      </c>
      <c r="J90" s="264" t="s">
        <v>358</v>
      </c>
      <c r="K90" s="264" t="s">
        <v>358</v>
      </c>
      <c r="L90" s="264" t="s">
        <v>358</v>
      </c>
      <c r="M90" s="264" t="s">
        <v>358</v>
      </c>
      <c r="N90" s="264" t="s">
        <v>358</v>
      </c>
      <c r="O90" s="264" t="s">
        <v>358</v>
      </c>
      <c r="P90" s="262">
        <f t="shared" si="41"/>
        <v>0</v>
      </c>
      <c r="Q90" s="262">
        <f t="shared" si="42"/>
        <v>0</v>
      </c>
      <c r="R90" s="262">
        <f t="shared" si="43"/>
        <v>0</v>
      </c>
      <c r="S90" s="262">
        <f t="shared" si="44"/>
        <v>0</v>
      </c>
      <c r="T90" s="261">
        <f t="shared" si="45"/>
        <v>0</v>
      </c>
      <c r="U90" s="144"/>
    </row>
    <row r="91" spans="1:22" ht="27" customHeight="1" outlineLevel="1">
      <c r="A91" s="143" t="s">
        <v>517</v>
      </c>
      <c r="B91" s="143"/>
      <c r="C91" s="163"/>
      <c r="D91" s="265" t="s">
        <v>358</v>
      </c>
      <c r="E91" s="264" t="s">
        <v>358</v>
      </c>
      <c r="F91" s="264" t="s">
        <v>358</v>
      </c>
      <c r="G91" s="264" t="s">
        <v>358</v>
      </c>
      <c r="H91" s="264" t="s">
        <v>358</v>
      </c>
      <c r="I91" s="264" t="s">
        <v>358</v>
      </c>
      <c r="J91" s="264" t="s">
        <v>358</v>
      </c>
      <c r="K91" s="264" t="s">
        <v>358</v>
      </c>
      <c r="L91" s="264" t="s">
        <v>358</v>
      </c>
      <c r="M91" s="264" t="s">
        <v>358</v>
      </c>
      <c r="N91" s="264" t="s">
        <v>358</v>
      </c>
      <c r="O91" s="264" t="s">
        <v>358</v>
      </c>
      <c r="P91" s="262">
        <f t="shared" si="41"/>
        <v>0</v>
      </c>
      <c r="Q91" s="262">
        <f t="shared" si="42"/>
        <v>0</v>
      </c>
      <c r="R91" s="262">
        <f t="shared" si="43"/>
        <v>0</v>
      </c>
      <c r="S91" s="262">
        <f t="shared" si="44"/>
        <v>0</v>
      </c>
      <c r="T91" s="261">
        <f t="shared" si="45"/>
        <v>0</v>
      </c>
      <c r="U91" s="144"/>
    </row>
    <row r="92" spans="1:22" s="139" customFormat="1" ht="27" customHeight="1">
      <c r="A92" s="160"/>
      <c r="B92" s="161" t="s">
        <v>518</v>
      </c>
      <c r="C92" s="162"/>
      <c r="D92" s="234">
        <f>SUM(D78:D91)</f>
        <v>38200</v>
      </c>
      <c r="E92" s="234">
        <f t="shared" ref="E92:O92" si="46">SUM(E78:E91)</f>
        <v>40800</v>
      </c>
      <c r="F92" s="234">
        <f t="shared" si="46"/>
        <v>49400</v>
      </c>
      <c r="G92" s="234">
        <f t="shared" si="46"/>
        <v>43800</v>
      </c>
      <c r="H92" s="234">
        <f t="shared" si="46"/>
        <v>38200</v>
      </c>
      <c r="I92" s="234">
        <f t="shared" si="46"/>
        <v>38200</v>
      </c>
      <c r="J92" s="234">
        <f t="shared" si="46"/>
        <v>38200</v>
      </c>
      <c r="K92" s="234">
        <f t="shared" si="46"/>
        <v>38200</v>
      </c>
      <c r="L92" s="234">
        <f t="shared" si="46"/>
        <v>38200</v>
      </c>
      <c r="M92" s="234">
        <f t="shared" si="46"/>
        <v>38200</v>
      </c>
      <c r="N92" s="234">
        <f t="shared" si="46"/>
        <v>38200</v>
      </c>
      <c r="O92" s="234">
        <f t="shared" si="46"/>
        <v>63200</v>
      </c>
      <c r="P92" s="234">
        <f t="shared" si="41"/>
        <v>128400</v>
      </c>
      <c r="Q92" s="234">
        <f t="shared" ref="Q92" si="47">SUM(G92:I92)</f>
        <v>120200</v>
      </c>
      <c r="R92" s="234">
        <f t="shared" ref="R92" si="48">SUM(J92:L92)</f>
        <v>114600</v>
      </c>
      <c r="S92" s="234">
        <f t="shared" ref="S92" si="49">SUM(M92:O92)</f>
        <v>139600</v>
      </c>
      <c r="T92" s="234">
        <f>SUM(T78:T91)</f>
        <v>502800</v>
      </c>
      <c r="U92" s="419">
        <f>T92/$T$315</f>
        <v>2.3649002270821574E-3</v>
      </c>
      <c r="V92" s="227"/>
    </row>
    <row r="93" spans="1:22" s="139" customFormat="1" ht="27" customHeight="1">
      <c r="A93" s="158" t="s">
        <v>519</v>
      </c>
      <c r="B93" s="159" t="s">
        <v>520</v>
      </c>
      <c r="C93" s="159" t="s">
        <v>335</v>
      </c>
      <c r="D93" s="202" t="s">
        <v>336</v>
      </c>
      <c r="E93" s="202" t="s">
        <v>337</v>
      </c>
      <c r="F93" s="202" t="s">
        <v>338</v>
      </c>
      <c r="G93" s="202" t="s">
        <v>339</v>
      </c>
      <c r="H93" s="202" t="s">
        <v>340</v>
      </c>
      <c r="I93" s="202" t="s">
        <v>341</v>
      </c>
      <c r="J93" s="202" t="s">
        <v>342</v>
      </c>
      <c r="K93" s="202" t="s">
        <v>343</v>
      </c>
      <c r="L93" s="202" t="s">
        <v>344</v>
      </c>
      <c r="M93" s="202" t="s">
        <v>345</v>
      </c>
      <c r="N93" s="202" t="s">
        <v>346</v>
      </c>
      <c r="O93" s="202" t="s">
        <v>347</v>
      </c>
      <c r="P93" s="202" t="s">
        <v>348</v>
      </c>
      <c r="Q93" s="202" t="s">
        <v>349</v>
      </c>
      <c r="R93" s="202" t="s">
        <v>350</v>
      </c>
      <c r="S93" s="202" t="s">
        <v>351</v>
      </c>
      <c r="T93" s="202" t="s">
        <v>352</v>
      </c>
      <c r="U93" s="157"/>
      <c r="V93" s="227"/>
    </row>
    <row r="94" spans="1:22" ht="27" customHeight="1" outlineLevel="1">
      <c r="A94" s="143" t="s">
        <v>521</v>
      </c>
      <c r="B94" s="143" t="s">
        <v>522</v>
      </c>
      <c r="C94" s="163" t="s">
        <v>523</v>
      </c>
      <c r="D94" s="378">
        <v>13454.89</v>
      </c>
      <c r="E94" s="268">
        <v>13454.89</v>
      </c>
      <c r="F94" s="268">
        <v>13454.89</v>
      </c>
      <c r="G94" s="268">
        <v>13454.89</v>
      </c>
      <c r="H94" s="268">
        <v>13454.89</v>
      </c>
      <c r="I94" s="268">
        <v>14127.63</v>
      </c>
      <c r="J94" s="268">
        <v>14127.63</v>
      </c>
      <c r="K94" s="268">
        <v>14127.63</v>
      </c>
      <c r="L94" s="268">
        <v>14127.63</v>
      </c>
      <c r="M94" s="268">
        <v>14127.63</v>
      </c>
      <c r="N94" s="268">
        <v>14127.63</v>
      </c>
      <c r="O94" s="268">
        <v>14127.63</v>
      </c>
      <c r="P94" s="262">
        <f t="shared" ref="P94:P124" si="50">SUM(D94:F94)</f>
        <v>40364.67</v>
      </c>
      <c r="Q94" s="262">
        <f>SUM(G94:I94)</f>
        <v>41037.409999999996</v>
      </c>
      <c r="R94" s="262">
        <f>SUM(J94:L94)</f>
        <v>42382.89</v>
      </c>
      <c r="S94" s="262">
        <f>SUM(M94:O94)</f>
        <v>42382.89</v>
      </c>
      <c r="T94" s="261">
        <f>SUM(D94:O94)</f>
        <v>166167.86000000002</v>
      </c>
      <c r="U94" s="379"/>
    </row>
    <row r="95" spans="1:22" s="341" customFormat="1" ht="27" customHeight="1" outlineLevel="1">
      <c r="A95" s="143" t="s">
        <v>524</v>
      </c>
      <c r="B95" s="143" t="s">
        <v>525</v>
      </c>
      <c r="C95" s="163" t="s">
        <v>523</v>
      </c>
      <c r="D95" s="263">
        <v>256000</v>
      </c>
      <c r="E95" s="264">
        <v>193000</v>
      </c>
      <c r="F95" s="264">
        <v>193000</v>
      </c>
      <c r="G95" s="264">
        <v>193000</v>
      </c>
      <c r="H95" s="264">
        <v>0</v>
      </c>
      <c r="I95" s="264">
        <v>0</v>
      </c>
      <c r="J95" s="264">
        <v>0</v>
      </c>
      <c r="K95" s="264">
        <v>0</v>
      </c>
      <c r="L95" s="264">
        <v>0</v>
      </c>
      <c r="M95" s="264">
        <v>0</v>
      </c>
      <c r="N95" s="264">
        <v>0</v>
      </c>
      <c r="O95" s="264">
        <v>0</v>
      </c>
      <c r="P95" s="262">
        <f t="shared" si="50"/>
        <v>642000</v>
      </c>
      <c r="Q95" s="262">
        <f t="shared" ref="Q95:Q124" si="51">SUM(G95:I95)</f>
        <v>193000</v>
      </c>
      <c r="R95" s="262">
        <f t="shared" ref="R95:R124" si="52">SUM(J95:L95)</f>
        <v>0</v>
      </c>
      <c r="S95" s="262">
        <f t="shared" ref="S95:S124" si="53">SUM(M95:O95)</f>
        <v>0</v>
      </c>
      <c r="T95" s="261">
        <f t="shared" ref="T95:T124" si="54">SUM(D95:O95)</f>
        <v>835000</v>
      </c>
      <c r="U95" s="144"/>
      <c r="V95" s="342"/>
    </row>
    <row r="96" spans="1:22" s="341" customFormat="1" ht="27" customHeight="1" outlineLevel="1">
      <c r="A96" s="143" t="s">
        <v>526</v>
      </c>
      <c r="B96" s="143" t="s">
        <v>527</v>
      </c>
      <c r="C96" s="163" t="s">
        <v>523</v>
      </c>
      <c r="D96" s="263">
        <v>0</v>
      </c>
      <c r="E96" s="264">
        <v>0</v>
      </c>
      <c r="F96" s="264">
        <v>0</v>
      </c>
      <c r="G96" s="264">
        <v>0</v>
      </c>
      <c r="H96" s="264">
        <v>86000</v>
      </c>
      <c r="I96" s="264">
        <v>86000</v>
      </c>
      <c r="J96" s="264">
        <v>86000</v>
      </c>
      <c r="K96" s="264">
        <v>86000</v>
      </c>
      <c r="L96" s="264">
        <v>86000</v>
      </c>
      <c r="M96" s="264">
        <v>86000</v>
      </c>
      <c r="N96" s="264">
        <v>86000</v>
      </c>
      <c r="O96" s="264">
        <v>86000</v>
      </c>
      <c r="P96" s="262">
        <f t="shared" si="50"/>
        <v>0</v>
      </c>
      <c r="Q96" s="262">
        <f t="shared" si="51"/>
        <v>172000</v>
      </c>
      <c r="R96" s="262">
        <f t="shared" si="52"/>
        <v>258000</v>
      </c>
      <c r="S96" s="262">
        <f t="shared" si="53"/>
        <v>258000</v>
      </c>
      <c r="T96" s="261">
        <f t="shared" si="54"/>
        <v>688000</v>
      </c>
      <c r="U96" s="144"/>
      <c r="V96" s="342"/>
    </row>
    <row r="97" spans="1:22" s="321" customFormat="1" ht="42" customHeight="1" outlineLevel="1">
      <c r="A97" s="145" t="s">
        <v>526</v>
      </c>
      <c r="B97" s="145" t="s">
        <v>528</v>
      </c>
      <c r="C97" s="146" t="s">
        <v>523</v>
      </c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262">
        <f t="shared" si="50"/>
        <v>0</v>
      </c>
      <c r="Q97" s="262">
        <f t="shared" si="51"/>
        <v>0</v>
      </c>
      <c r="R97" s="262">
        <f t="shared" si="52"/>
        <v>0</v>
      </c>
      <c r="S97" s="262">
        <f t="shared" si="53"/>
        <v>0</v>
      </c>
      <c r="T97" s="261">
        <f t="shared" si="54"/>
        <v>0</v>
      </c>
      <c r="U97" s="379" t="s">
        <v>529</v>
      </c>
      <c r="V97" s="343"/>
    </row>
    <row r="98" spans="1:22" s="347" customFormat="1" ht="30.75" customHeight="1" outlineLevel="1">
      <c r="A98" s="372" t="s">
        <v>530</v>
      </c>
      <c r="B98" s="145" t="s">
        <v>531</v>
      </c>
      <c r="C98" s="146" t="s">
        <v>523</v>
      </c>
      <c r="D98" s="376">
        <v>60575.41</v>
      </c>
      <c r="E98" s="376">
        <v>60575.41</v>
      </c>
      <c r="F98" s="376">
        <v>60575.41</v>
      </c>
      <c r="G98" s="376">
        <v>60575.41</v>
      </c>
      <c r="H98" s="376">
        <v>60575.41</v>
      </c>
      <c r="I98" s="376">
        <v>60575.41</v>
      </c>
      <c r="J98" s="376">
        <v>60575.41</v>
      </c>
      <c r="K98" s="376">
        <v>60575.41</v>
      </c>
      <c r="L98" s="376">
        <v>60575.41</v>
      </c>
      <c r="M98" s="376">
        <v>60575.41</v>
      </c>
      <c r="N98" s="376">
        <v>60575.41</v>
      </c>
      <c r="O98" s="376">
        <v>60575.41</v>
      </c>
      <c r="P98" s="262">
        <f t="shared" si="50"/>
        <v>181726.23</v>
      </c>
      <c r="Q98" s="262">
        <f t="shared" si="51"/>
        <v>181726.23</v>
      </c>
      <c r="R98" s="262">
        <f t="shared" si="52"/>
        <v>181726.23</v>
      </c>
      <c r="S98" s="262">
        <f t="shared" si="53"/>
        <v>181726.23</v>
      </c>
      <c r="T98" s="261">
        <f t="shared" si="54"/>
        <v>726904.92000000027</v>
      </c>
      <c r="U98" s="379"/>
      <c r="V98" s="346"/>
    </row>
    <row r="99" spans="1:22" ht="30.75" customHeight="1" outlineLevel="1">
      <c r="A99" s="143" t="s">
        <v>532</v>
      </c>
      <c r="B99" s="143" t="s">
        <v>533</v>
      </c>
      <c r="C99" s="163" t="s">
        <v>523</v>
      </c>
      <c r="D99" s="263"/>
      <c r="E99" s="240"/>
      <c r="F99" s="263"/>
      <c r="G99" s="263">
        <v>17900</v>
      </c>
      <c r="H99" s="263"/>
      <c r="I99" s="263"/>
      <c r="J99" s="263"/>
      <c r="K99" s="263"/>
      <c r="L99" s="263"/>
      <c r="M99" s="263"/>
      <c r="N99" s="263"/>
      <c r="O99" s="263"/>
      <c r="P99" s="262">
        <f t="shared" si="50"/>
        <v>0</v>
      </c>
      <c r="Q99" s="262">
        <f t="shared" si="51"/>
        <v>17900</v>
      </c>
      <c r="R99" s="262">
        <f t="shared" si="52"/>
        <v>0</v>
      </c>
      <c r="S99" s="262">
        <f t="shared" si="53"/>
        <v>0</v>
      </c>
      <c r="T99" s="261">
        <f t="shared" si="54"/>
        <v>17900</v>
      </c>
      <c r="U99" s="379"/>
    </row>
    <row r="100" spans="1:22" s="345" customFormat="1" ht="30.75" customHeight="1" outlineLevel="1">
      <c r="A100" s="160" t="s">
        <v>534</v>
      </c>
      <c r="B100" s="145" t="s">
        <v>535</v>
      </c>
      <c r="C100" s="146" t="s">
        <v>523</v>
      </c>
      <c r="D100" s="376">
        <v>270000</v>
      </c>
      <c r="E100" s="376">
        <v>270000</v>
      </c>
      <c r="F100" s="376">
        <v>270000</v>
      </c>
      <c r="G100" s="376">
        <v>270000</v>
      </c>
      <c r="H100" s="376">
        <v>270000</v>
      </c>
      <c r="I100" s="376">
        <v>270000</v>
      </c>
      <c r="J100" s="376">
        <v>270000</v>
      </c>
      <c r="K100" s="376">
        <v>270000</v>
      </c>
      <c r="L100" s="376">
        <v>270000</v>
      </c>
      <c r="M100" s="376">
        <v>270000</v>
      </c>
      <c r="N100" s="376">
        <v>270000</v>
      </c>
      <c r="O100" s="376">
        <v>270000</v>
      </c>
      <c r="P100" s="262">
        <f t="shared" si="50"/>
        <v>810000</v>
      </c>
      <c r="Q100" s="262">
        <f t="shared" si="51"/>
        <v>810000</v>
      </c>
      <c r="R100" s="262">
        <f t="shared" si="52"/>
        <v>810000</v>
      </c>
      <c r="S100" s="262">
        <f t="shared" si="53"/>
        <v>810000</v>
      </c>
      <c r="T100" s="261">
        <f t="shared" si="54"/>
        <v>3240000</v>
      </c>
      <c r="U100" s="382" t="s">
        <v>536</v>
      </c>
      <c r="V100" s="344"/>
    </row>
    <row r="101" spans="1:22" s="347" customFormat="1" ht="30.75" customHeight="1" outlineLevel="1">
      <c r="A101" s="160" t="s">
        <v>537</v>
      </c>
      <c r="B101" s="145" t="s">
        <v>538</v>
      </c>
      <c r="C101" s="163" t="s">
        <v>523</v>
      </c>
      <c r="D101" s="263">
        <v>410000</v>
      </c>
      <c r="E101" s="263">
        <v>410000</v>
      </c>
      <c r="F101" s="263">
        <v>410000</v>
      </c>
      <c r="G101" s="263">
        <v>410000</v>
      </c>
      <c r="H101" s="263">
        <v>410000</v>
      </c>
      <c r="I101" s="263">
        <v>410000</v>
      </c>
      <c r="J101" s="263">
        <v>410000</v>
      </c>
      <c r="K101" s="263">
        <v>410000</v>
      </c>
      <c r="L101" s="263">
        <v>410000</v>
      </c>
      <c r="M101" s="263">
        <v>410000</v>
      </c>
      <c r="N101" s="263">
        <v>410000</v>
      </c>
      <c r="O101" s="263">
        <v>410000</v>
      </c>
      <c r="P101" s="262">
        <f t="shared" si="50"/>
        <v>1230000</v>
      </c>
      <c r="Q101" s="262">
        <f t="shared" si="51"/>
        <v>1230000</v>
      </c>
      <c r="R101" s="262">
        <f t="shared" si="52"/>
        <v>1230000</v>
      </c>
      <c r="S101" s="262">
        <f t="shared" si="53"/>
        <v>1230000</v>
      </c>
      <c r="T101" s="261">
        <f t="shared" si="54"/>
        <v>4920000</v>
      </c>
      <c r="U101" s="379" t="s">
        <v>539</v>
      </c>
      <c r="V101" s="348"/>
    </row>
    <row r="102" spans="1:22" ht="27" customHeight="1" outlineLevel="1">
      <c r="A102" s="143" t="s">
        <v>540</v>
      </c>
      <c r="B102" s="143" t="s">
        <v>541</v>
      </c>
      <c r="C102" s="163" t="s">
        <v>523</v>
      </c>
      <c r="D102" s="266">
        <v>350000</v>
      </c>
      <c r="E102" s="266">
        <v>350000</v>
      </c>
      <c r="F102" s="266">
        <v>350000</v>
      </c>
      <c r="G102" s="266">
        <v>350000</v>
      </c>
      <c r="H102" s="266">
        <v>350000</v>
      </c>
      <c r="I102" s="266">
        <v>350000</v>
      </c>
      <c r="J102" s="266">
        <v>350000</v>
      </c>
      <c r="K102" s="266">
        <v>350000</v>
      </c>
      <c r="L102" s="266">
        <v>350000</v>
      </c>
      <c r="M102" s="266">
        <v>350000</v>
      </c>
      <c r="N102" s="266">
        <v>350000</v>
      </c>
      <c r="O102" s="266">
        <v>350000</v>
      </c>
      <c r="P102" s="262">
        <f t="shared" si="50"/>
        <v>1050000</v>
      </c>
      <c r="Q102" s="262">
        <f t="shared" si="51"/>
        <v>1050000</v>
      </c>
      <c r="R102" s="262">
        <f t="shared" si="52"/>
        <v>1050000</v>
      </c>
      <c r="S102" s="262">
        <f t="shared" si="53"/>
        <v>1050000</v>
      </c>
      <c r="T102" s="261">
        <f t="shared" si="54"/>
        <v>4200000</v>
      </c>
      <c r="U102" s="144"/>
    </row>
    <row r="103" spans="1:22" s="347" customFormat="1" ht="27" customHeight="1" outlineLevel="1">
      <c r="A103" s="160" t="s">
        <v>542</v>
      </c>
      <c r="B103" s="145" t="s">
        <v>543</v>
      </c>
      <c r="C103" s="163" t="s">
        <v>523</v>
      </c>
      <c r="D103" s="263">
        <v>460000</v>
      </c>
      <c r="E103" s="263">
        <v>460000</v>
      </c>
      <c r="F103" s="263">
        <v>460000</v>
      </c>
      <c r="G103" s="263">
        <v>460000</v>
      </c>
      <c r="H103" s="263">
        <v>460000</v>
      </c>
      <c r="I103" s="263">
        <v>460000</v>
      </c>
      <c r="J103" s="263">
        <v>460000</v>
      </c>
      <c r="K103" s="263">
        <v>460000</v>
      </c>
      <c r="L103" s="263">
        <v>460000</v>
      </c>
      <c r="M103" s="263">
        <v>460000</v>
      </c>
      <c r="N103" s="263">
        <v>460000</v>
      </c>
      <c r="O103" s="263">
        <v>460000</v>
      </c>
      <c r="P103" s="262">
        <f t="shared" si="50"/>
        <v>1380000</v>
      </c>
      <c r="Q103" s="262">
        <f t="shared" si="51"/>
        <v>1380000</v>
      </c>
      <c r="R103" s="262">
        <f t="shared" si="52"/>
        <v>1380000</v>
      </c>
      <c r="S103" s="262">
        <f t="shared" si="53"/>
        <v>1380000</v>
      </c>
      <c r="T103" s="261">
        <f t="shared" si="54"/>
        <v>5520000</v>
      </c>
      <c r="U103" s="144" t="s">
        <v>544</v>
      </c>
      <c r="V103" s="346"/>
    </row>
    <row r="104" spans="1:22" s="347" customFormat="1" ht="27" customHeight="1" outlineLevel="1">
      <c r="A104" s="160" t="s">
        <v>545</v>
      </c>
      <c r="B104" s="143" t="s">
        <v>546</v>
      </c>
      <c r="C104" s="163" t="s">
        <v>523</v>
      </c>
      <c r="D104" s="263">
        <v>4065.88</v>
      </c>
      <c r="E104" s="263">
        <v>4065.88</v>
      </c>
      <c r="F104" s="263">
        <v>4065.88</v>
      </c>
      <c r="G104" s="263">
        <v>4065.88</v>
      </c>
      <c r="H104" s="263">
        <v>4065.88</v>
      </c>
      <c r="I104" s="263">
        <v>4065.88</v>
      </c>
      <c r="J104" s="263">
        <v>4065.88</v>
      </c>
      <c r="K104" s="263">
        <v>4065.88</v>
      </c>
      <c r="L104" s="263">
        <v>4300</v>
      </c>
      <c r="M104" s="263">
        <v>4300</v>
      </c>
      <c r="N104" s="263">
        <v>4300</v>
      </c>
      <c r="O104" s="263">
        <v>4300</v>
      </c>
      <c r="P104" s="262">
        <f t="shared" si="50"/>
        <v>12197.64</v>
      </c>
      <c r="Q104" s="262">
        <f t="shared" si="51"/>
        <v>12197.64</v>
      </c>
      <c r="R104" s="262">
        <f t="shared" si="52"/>
        <v>12431.76</v>
      </c>
      <c r="S104" s="262">
        <f t="shared" si="53"/>
        <v>12900</v>
      </c>
      <c r="T104" s="261">
        <f t="shared" si="54"/>
        <v>49727.040000000008</v>
      </c>
      <c r="U104" s="144"/>
      <c r="V104" s="346"/>
    </row>
    <row r="105" spans="1:22" s="347" customFormat="1" ht="27" customHeight="1" outlineLevel="1">
      <c r="A105" s="160" t="s">
        <v>547</v>
      </c>
      <c r="B105" s="143" t="s">
        <v>548</v>
      </c>
      <c r="C105" s="163" t="s">
        <v>523</v>
      </c>
      <c r="D105" s="263">
        <v>63600</v>
      </c>
      <c r="E105" s="263">
        <v>63600</v>
      </c>
      <c r="F105" s="263">
        <v>63600</v>
      </c>
      <c r="G105" s="263">
        <v>63600</v>
      </c>
      <c r="H105" s="263">
        <v>63600</v>
      </c>
      <c r="I105" s="263">
        <v>63600</v>
      </c>
      <c r="J105" s="263">
        <v>63600</v>
      </c>
      <c r="K105" s="263">
        <v>63600</v>
      </c>
      <c r="L105" s="263">
        <v>63600</v>
      </c>
      <c r="M105" s="263">
        <v>63600</v>
      </c>
      <c r="N105" s="263">
        <v>63600</v>
      </c>
      <c r="O105" s="263">
        <v>63600</v>
      </c>
      <c r="P105" s="262">
        <f t="shared" si="50"/>
        <v>190800</v>
      </c>
      <c r="Q105" s="262">
        <f t="shared" si="51"/>
        <v>190800</v>
      </c>
      <c r="R105" s="262">
        <f t="shared" si="52"/>
        <v>190800</v>
      </c>
      <c r="S105" s="262">
        <f t="shared" si="53"/>
        <v>190800</v>
      </c>
      <c r="T105" s="261">
        <f t="shared" si="54"/>
        <v>763200</v>
      </c>
      <c r="U105" s="144"/>
      <c r="V105" s="346"/>
    </row>
    <row r="106" spans="1:22" s="347" customFormat="1" ht="27" customHeight="1" outlineLevel="1">
      <c r="A106" s="160" t="s">
        <v>549</v>
      </c>
      <c r="B106" s="143" t="s">
        <v>550</v>
      </c>
      <c r="C106" s="163" t="s">
        <v>523</v>
      </c>
      <c r="D106" s="263">
        <v>270000</v>
      </c>
      <c r="E106" s="263">
        <v>270000</v>
      </c>
      <c r="F106" s="263">
        <v>270000</v>
      </c>
      <c r="G106" s="264">
        <v>270000</v>
      </c>
      <c r="H106" s="264">
        <v>270000</v>
      </c>
      <c r="I106" s="264">
        <v>270000</v>
      </c>
      <c r="J106" s="264">
        <v>270000</v>
      </c>
      <c r="K106" s="264">
        <v>290000</v>
      </c>
      <c r="L106" s="264">
        <v>290000</v>
      </c>
      <c r="M106" s="264">
        <v>290000</v>
      </c>
      <c r="N106" s="264">
        <v>290000</v>
      </c>
      <c r="O106" s="264">
        <v>290000</v>
      </c>
      <c r="P106" s="262">
        <f t="shared" si="50"/>
        <v>810000</v>
      </c>
      <c r="Q106" s="262">
        <f t="shared" si="51"/>
        <v>810000</v>
      </c>
      <c r="R106" s="262">
        <f t="shared" si="52"/>
        <v>850000</v>
      </c>
      <c r="S106" s="262">
        <f t="shared" si="53"/>
        <v>870000</v>
      </c>
      <c r="T106" s="261">
        <f t="shared" si="54"/>
        <v>3340000</v>
      </c>
      <c r="U106" s="144"/>
      <c r="V106" s="346"/>
    </row>
    <row r="107" spans="1:22" s="347" customFormat="1" ht="27" customHeight="1" outlineLevel="1">
      <c r="A107" s="160" t="s">
        <v>551</v>
      </c>
      <c r="B107" s="145" t="s">
        <v>552</v>
      </c>
      <c r="C107" s="163" t="s">
        <v>523</v>
      </c>
      <c r="D107" s="263">
        <v>350</v>
      </c>
      <c r="E107" s="263">
        <v>350</v>
      </c>
      <c r="F107" s="263">
        <v>350</v>
      </c>
      <c r="G107" s="263">
        <v>350</v>
      </c>
      <c r="H107" s="263">
        <v>350</v>
      </c>
      <c r="I107" s="263">
        <v>350</v>
      </c>
      <c r="J107" s="263">
        <v>350</v>
      </c>
      <c r="K107" s="263">
        <v>350</v>
      </c>
      <c r="L107" s="263">
        <v>350</v>
      </c>
      <c r="M107" s="263">
        <v>350</v>
      </c>
      <c r="N107" s="263">
        <v>350</v>
      </c>
      <c r="O107" s="263">
        <v>350</v>
      </c>
      <c r="P107" s="262">
        <f t="shared" si="50"/>
        <v>1050</v>
      </c>
      <c r="Q107" s="262">
        <f t="shared" si="51"/>
        <v>1050</v>
      </c>
      <c r="R107" s="262">
        <f t="shared" si="52"/>
        <v>1050</v>
      </c>
      <c r="S107" s="262">
        <f t="shared" si="53"/>
        <v>1050</v>
      </c>
      <c r="T107" s="261">
        <f t="shared" si="54"/>
        <v>4200</v>
      </c>
      <c r="U107" s="144"/>
      <c r="V107" s="346"/>
    </row>
    <row r="108" spans="1:22" s="351" customFormat="1" ht="27" customHeight="1" outlineLevel="1">
      <c r="A108" s="160" t="s">
        <v>553</v>
      </c>
      <c r="B108" s="145" t="s">
        <v>554</v>
      </c>
      <c r="C108" s="163" t="s">
        <v>523</v>
      </c>
      <c r="D108" s="263">
        <v>0</v>
      </c>
      <c r="E108" s="264">
        <v>0</v>
      </c>
      <c r="F108" s="264">
        <v>0</v>
      </c>
      <c r="G108" s="264">
        <v>0</v>
      </c>
      <c r="H108" s="264">
        <v>0</v>
      </c>
      <c r="I108" s="264">
        <v>55000</v>
      </c>
      <c r="J108" s="264">
        <v>0</v>
      </c>
      <c r="K108" s="264">
        <v>0</v>
      </c>
      <c r="L108" s="264">
        <v>0</v>
      </c>
      <c r="M108" s="264">
        <v>0</v>
      </c>
      <c r="N108" s="264">
        <v>0</v>
      </c>
      <c r="O108" s="264">
        <v>0</v>
      </c>
      <c r="P108" s="262">
        <f t="shared" si="50"/>
        <v>0</v>
      </c>
      <c r="Q108" s="262">
        <f t="shared" si="51"/>
        <v>55000</v>
      </c>
      <c r="R108" s="262">
        <f t="shared" si="52"/>
        <v>0</v>
      </c>
      <c r="S108" s="262">
        <f t="shared" si="53"/>
        <v>0</v>
      </c>
      <c r="T108" s="261">
        <f t="shared" si="54"/>
        <v>55000</v>
      </c>
      <c r="U108" s="144"/>
      <c r="V108" s="352"/>
    </row>
    <row r="109" spans="1:22" s="353" customFormat="1" ht="27" customHeight="1" outlineLevel="1">
      <c r="A109" s="160" t="s">
        <v>555</v>
      </c>
      <c r="B109" s="383" t="s">
        <v>556</v>
      </c>
      <c r="C109" s="146" t="s">
        <v>523</v>
      </c>
      <c r="D109" s="376">
        <v>20000</v>
      </c>
      <c r="E109" s="376">
        <v>20000</v>
      </c>
      <c r="F109" s="376">
        <v>20000</v>
      </c>
      <c r="G109" s="376">
        <v>20000</v>
      </c>
      <c r="H109" s="376">
        <v>45000</v>
      </c>
      <c r="I109" s="376">
        <v>45000</v>
      </c>
      <c r="J109" s="376">
        <v>45000</v>
      </c>
      <c r="K109" s="376">
        <v>45000</v>
      </c>
      <c r="L109" s="376">
        <v>45000</v>
      </c>
      <c r="M109" s="376">
        <v>45000</v>
      </c>
      <c r="N109" s="376">
        <v>45000</v>
      </c>
      <c r="O109" s="376">
        <v>45000</v>
      </c>
      <c r="P109" s="262">
        <f t="shared" si="50"/>
        <v>60000</v>
      </c>
      <c r="Q109" s="262">
        <f t="shared" si="51"/>
        <v>110000</v>
      </c>
      <c r="R109" s="262">
        <f t="shared" si="52"/>
        <v>135000</v>
      </c>
      <c r="S109" s="262">
        <f t="shared" si="53"/>
        <v>135000</v>
      </c>
      <c r="T109" s="261">
        <f t="shared" si="54"/>
        <v>440000</v>
      </c>
      <c r="U109" s="380"/>
      <c r="V109" s="354"/>
    </row>
    <row r="110" spans="1:22" s="351" customFormat="1" ht="27" customHeight="1" outlineLevel="1">
      <c r="A110" s="160" t="s">
        <v>557</v>
      </c>
      <c r="B110" s="383" t="s">
        <v>558</v>
      </c>
      <c r="C110" s="203" t="s">
        <v>559</v>
      </c>
      <c r="D110" s="263">
        <v>280</v>
      </c>
      <c r="E110" s="263">
        <v>280</v>
      </c>
      <c r="F110" s="263">
        <v>280</v>
      </c>
      <c r="G110" s="263">
        <v>280</v>
      </c>
      <c r="H110" s="263">
        <v>280</v>
      </c>
      <c r="I110" s="263">
        <v>280</v>
      </c>
      <c r="J110" s="263">
        <v>280</v>
      </c>
      <c r="K110" s="263">
        <v>280</v>
      </c>
      <c r="L110" s="263">
        <v>280</v>
      </c>
      <c r="M110" s="263">
        <v>280</v>
      </c>
      <c r="N110" s="263">
        <v>280</v>
      </c>
      <c r="O110" s="263">
        <v>280</v>
      </c>
      <c r="P110" s="262">
        <f t="shared" si="50"/>
        <v>840</v>
      </c>
      <c r="Q110" s="262">
        <f t="shared" si="51"/>
        <v>840</v>
      </c>
      <c r="R110" s="262">
        <f t="shared" si="52"/>
        <v>840</v>
      </c>
      <c r="S110" s="262">
        <f t="shared" si="53"/>
        <v>840</v>
      </c>
      <c r="T110" s="261">
        <f t="shared" si="54"/>
        <v>3360</v>
      </c>
      <c r="U110" s="144"/>
      <c r="V110" s="352"/>
    </row>
    <row r="111" spans="1:22" s="351" customFormat="1" ht="27" customHeight="1" outlineLevel="1">
      <c r="A111" s="160" t="s">
        <v>560</v>
      </c>
      <c r="B111" s="383" t="s">
        <v>561</v>
      </c>
      <c r="C111" s="203" t="s">
        <v>559</v>
      </c>
      <c r="D111" s="263">
        <v>3000</v>
      </c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2">
        <f t="shared" si="50"/>
        <v>3000</v>
      </c>
      <c r="Q111" s="262">
        <f t="shared" si="51"/>
        <v>0</v>
      </c>
      <c r="R111" s="262">
        <f t="shared" si="52"/>
        <v>0</v>
      </c>
      <c r="S111" s="262">
        <f t="shared" si="53"/>
        <v>0</v>
      </c>
      <c r="T111" s="261">
        <f t="shared" si="54"/>
        <v>3000</v>
      </c>
      <c r="U111" s="144"/>
      <c r="V111" s="352"/>
    </row>
    <row r="112" spans="1:22" s="351" customFormat="1" ht="27" customHeight="1" outlineLevel="1">
      <c r="A112" s="160" t="s">
        <v>562</v>
      </c>
      <c r="B112" s="383" t="s">
        <v>563</v>
      </c>
      <c r="C112" s="203" t="s">
        <v>559</v>
      </c>
      <c r="D112" s="263">
        <v>200</v>
      </c>
      <c r="E112" s="263">
        <v>200</v>
      </c>
      <c r="F112" s="263">
        <v>200</v>
      </c>
      <c r="G112" s="263">
        <v>200</v>
      </c>
      <c r="H112" s="263">
        <v>200</v>
      </c>
      <c r="I112" s="263">
        <v>200</v>
      </c>
      <c r="J112" s="263">
        <v>200</v>
      </c>
      <c r="K112" s="263">
        <v>200</v>
      </c>
      <c r="L112" s="263">
        <v>200</v>
      </c>
      <c r="M112" s="263">
        <v>200</v>
      </c>
      <c r="N112" s="263">
        <v>200</v>
      </c>
      <c r="O112" s="263">
        <v>200</v>
      </c>
      <c r="P112" s="262">
        <f t="shared" si="50"/>
        <v>600</v>
      </c>
      <c r="Q112" s="262">
        <f t="shared" si="51"/>
        <v>600</v>
      </c>
      <c r="R112" s="262">
        <f t="shared" si="52"/>
        <v>600</v>
      </c>
      <c r="S112" s="262">
        <f t="shared" si="53"/>
        <v>600</v>
      </c>
      <c r="T112" s="261">
        <f t="shared" si="54"/>
        <v>2400</v>
      </c>
      <c r="U112" s="144"/>
      <c r="V112" s="352"/>
    </row>
    <row r="113" spans="1:22" s="351" customFormat="1" ht="36.75" customHeight="1" outlineLevel="1">
      <c r="A113" s="160" t="s">
        <v>564</v>
      </c>
      <c r="B113" s="383" t="s">
        <v>565</v>
      </c>
      <c r="C113" s="163" t="s">
        <v>523</v>
      </c>
      <c r="D113" s="263">
        <v>115000</v>
      </c>
      <c r="E113" s="263">
        <v>115000</v>
      </c>
      <c r="F113" s="263">
        <v>115000</v>
      </c>
      <c r="G113" s="263">
        <v>115000</v>
      </c>
      <c r="H113" s="263">
        <v>115000</v>
      </c>
      <c r="I113" s="263">
        <v>115000</v>
      </c>
      <c r="J113" s="263">
        <v>115000</v>
      </c>
      <c r="K113" s="263">
        <v>115000</v>
      </c>
      <c r="L113" s="263">
        <v>115000</v>
      </c>
      <c r="M113" s="263">
        <v>115000</v>
      </c>
      <c r="N113" s="263">
        <v>115000</v>
      </c>
      <c r="O113" s="263">
        <v>115000</v>
      </c>
      <c r="P113" s="262">
        <f t="shared" si="50"/>
        <v>345000</v>
      </c>
      <c r="Q113" s="262">
        <f t="shared" si="51"/>
        <v>345000</v>
      </c>
      <c r="R113" s="262">
        <f t="shared" si="52"/>
        <v>345000</v>
      </c>
      <c r="S113" s="262">
        <f t="shared" si="53"/>
        <v>345000</v>
      </c>
      <c r="T113" s="261">
        <f t="shared" si="54"/>
        <v>1380000</v>
      </c>
      <c r="U113" s="144"/>
      <c r="V113" s="352"/>
    </row>
    <row r="114" spans="1:22" s="351" customFormat="1" ht="27" customHeight="1" outlineLevel="1">
      <c r="A114" s="160" t="s">
        <v>566</v>
      </c>
      <c r="B114" s="383" t="s">
        <v>567</v>
      </c>
      <c r="C114" s="203" t="s">
        <v>559</v>
      </c>
      <c r="D114" s="263">
        <v>600</v>
      </c>
      <c r="E114" s="264" t="s">
        <v>358</v>
      </c>
      <c r="F114" s="264" t="s">
        <v>358</v>
      </c>
      <c r="G114" s="264" t="s">
        <v>358</v>
      </c>
      <c r="H114" s="264" t="s">
        <v>358</v>
      </c>
      <c r="I114" s="264" t="s">
        <v>358</v>
      </c>
      <c r="J114" s="264" t="s">
        <v>358</v>
      </c>
      <c r="K114" s="264" t="s">
        <v>358</v>
      </c>
      <c r="L114" s="264" t="s">
        <v>358</v>
      </c>
      <c r="M114" s="264" t="s">
        <v>358</v>
      </c>
      <c r="N114" s="261" t="s">
        <v>358</v>
      </c>
      <c r="O114" s="261" t="s">
        <v>358</v>
      </c>
      <c r="P114" s="262">
        <f t="shared" si="50"/>
        <v>600</v>
      </c>
      <c r="Q114" s="262">
        <f t="shared" si="51"/>
        <v>0</v>
      </c>
      <c r="R114" s="262">
        <f t="shared" si="52"/>
        <v>0</v>
      </c>
      <c r="S114" s="262">
        <f t="shared" si="53"/>
        <v>0</v>
      </c>
      <c r="T114" s="261">
        <f t="shared" si="54"/>
        <v>600</v>
      </c>
      <c r="U114" s="144"/>
      <c r="V114" s="352"/>
    </row>
    <row r="115" spans="1:22" s="351" customFormat="1" ht="27" customHeight="1" outlineLevel="1">
      <c r="A115" s="160" t="s">
        <v>568</v>
      </c>
      <c r="B115" s="145" t="s">
        <v>569</v>
      </c>
      <c r="C115" s="163" t="s">
        <v>523</v>
      </c>
      <c r="D115" s="263">
        <v>3000</v>
      </c>
      <c r="E115" s="263">
        <v>3000</v>
      </c>
      <c r="F115" s="263">
        <v>3000</v>
      </c>
      <c r="G115" s="263">
        <v>3000</v>
      </c>
      <c r="H115" s="263">
        <v>3000</v>
      </c>
      <c r="I115" s="263">
        <v>3000</v>
      </c>
      <c r="J115" s="263">
        <v>3000</v>
      </c>
      <c r="K115" s="263">
        <v>2000</v>
      </c>
      <c r="L115" s="263">
        <v>2000</v>
      </c>
      <c r="M115" s="263">
        <v>2000</v>
      </c>
      <c r="N115" s="263">
        <v>2000</v>
      </c>
      <c r="O115" s="263">
        <v>2000</v>
      </c>
      <c r="P115" s="262">
        <f t="shared" si="50"/>
        <v>9000</v>
      </c>
      <c r="Q115" s="262">
        <f t="shared" si="51"/>
        <v>9000</v>
      </c>
      <c r="R115" s="262">
        <f t="shared" si="52"/>
        <v>7000</v>
      </c>
      <c r="S115" s="262">
        <f t="shared" si="53"/>
        <v>6000</v>
      </c>
      <c r="T115" s="261">
        <f t="shared" si="54"/>
        <v>31000</v>
      </c>
      <c r="U115" s="144"/>
      <c r="V115" s="352"/>
    </row>
    <row r="116" spans="1:22" s="355" customFormat="1" ht="27" customHeight="1" outlineLevel="1">
      <c r="A116" s="160" t="s">
        <v>570</v>
      </c>
      <c r="B116" s="145" t="s">
        <v>571</v>
      </c>
      <c r="C116" s="163" t="s">
        <v>523</v>
      </c>
      <c r="D116" s="263">
        <v>107000</v>
      </c>
      <c r="E116" s="263">
        <v>107000</v>
      </c>
      <c r="F116" s="263">
        <v>107000</v>
      </c>
      <c r="G116" s="263">
        <v>107000</v>
      </c>
      <c r="H116" s="263">
        <v>107000</v>
      </c>
      <c r="I116" s="263">
        <v>107000</v>
      </c>
      <c r="J116" s="263">
        <v>107000</v>
      </c>
      <c r="K116" s="263">
        <v>107000</v>
      </c>
      <c r="L116" s="263">
        <v>107000</v>
      </c>
      <c r="M116" s="263">
        <v>107000</v>
      </c>
      <c r="N116" s="263">
        <v>107000</v>
      </c>
      <c r="O116" s="263">
        <v>107000</v>
      </c>
      <c r="P116" s="262">
        <f t="shared" si="50"/>
        <v>321000</v>
      </c>
      <c r="Q116" s="262">
        <f t="shared" si="51"/>
        <v>321000</v>
      </c>
      <c r="R116" s="262">
        <f t="shared" si="52"/>
        <v>321000</v>
      </c>
      <c r="S116" s="262">
        <f t="shared" si="53"/>
        <v>321000</v>
      </c>
      <c r="T116" s="261">
        <f t="shared" si="54"/>
        <v>1284000</v>
      </c>
      <c r="U116" s="144"/>
      <c r="V116" s="356"/>
    </row>
    <row r="117" spans="1:22" s="351" customFormat="1" ht="27" customHeight="1" outlineLevel="1">
      <c r="A117" s="160" t="s">
        <v>572</v>
      </c>
      <c r="B117" s="143" t="s">
        <v>573</v>
      </c>
      <c r="C117" s="163" t="s">
        <v>523</v>
      </c>
      <c r="D117" s="263">
        <v>3800</v>
      </c>
      <c r="E117" s="263">
        <v>3800</v>
      </c>
      <c r="F117" s="263">
        <v>3800</v>
      </c>
      <c r="G117" s="263">
        <v>3800</v>
      </c>
      <c r="H117" s="263">
        <v>3800</v>
      </c>
      <c r="I117" s="263">
        <v>3800</v>
      </c>
      <c r="J117" s="263">
        <v>3800</v>
      </c>
      <c r="K117" s="263">
        <v>3800</v>
      </c>
      <c r="L117" s="263">
        <v>3800</v>
      </c>
      <c r="M117" s="263">
        <v>3800</v>
      </c>
      <c r="N117" s="263">
        <v>3800</v>
      </c>
      <c r="O117" s="263">
        <v>3800</v>
      </c>
      <c r="P117" s="262">
        <f t="shared" si="50"/>
        <v>11400</v>
      </c>
      <c r="Q117" s="262">
        <f t="shared" si="51"/>
        <v>11400</v>
      </c>
      <c r="R117" s="262">
        <f t="shared" si="52"/>
        <v>11400</v>
      </c>
      <c r="S117" s="262">
        <f t="shared" si="53"/>
        <v>11400</v>
      </c>
      <c r="T117" s="261">
        <f t="shared" si="54"/>
        <v>45600</v>
      </c>
      <c r="U117" s="144"/>
      <c r="V117" s="352"/>
    </row>
    <row r="118" spans="1:22" s="351" customFormat="1" ht="27" customHeight="1" outlineLevel="1">
      <c r="A118" s="160" t="s">
        <v>574</v>
      </c>
      <c r="B118" s="143" t="s">
        <v>575</v>
      </c>
      <c r="C118" s="163" t="s">
        <v>523</v>
      </c>
      <c r="D118" s="263">
        <v>999000</v>
      </c>
      <c r="E118" s="263">
        <v>999000</v>
      </c>
      <c r="F118" s="263">
        <v>999000</v>
      </c>
      <c r="G118" s="263">
        <v>999000</v>
      </c>
      <c r="H118" s="263">
        <v>999000</v>
      </c>
      <c r="I118" s="263">
        <v>999000</v>
      </c>
      <c r="J118" s="263">
        <v>999000</v>
      </c>
      <c r="K118" s="263">
        <v>999000</v>
      </c>
      <c r="L118" s="263">
        <v>999000</v>
      </c>
      <c r="M118" s="263">
        <v>999000</v>
      </c>
      <c r="N118" s="263">
        <v>999000</v>
      </c>
      <c r="O118" s="263">
        <v>999000</v>
      </c>
      <c r="P118" s="262">
        <f t="shared" si="50"/>
        <v>2997000</v>
      </c>
      <c r="Q118" s="262">
        <f t="shared" si="51"/>
        <v>2997000</v>
      </c>
      <c r="R118" s="262">
        <f t="shared" si="52"/>
        <v>2997000</v>
      </c>
      <c r="S118" s="262">
        <f t="shared" si="53"/>
        <v>2997000</v>
      </c>
      <c r="T118" s="261">
        <f t="shared" si="54"/>
        <v>11988000</v>
      </c>
      <c r="U118" s="144"/>
      <c r="V118" s="352"/>
    </row>
    <row r="119" spans="1:22" s="351" customFormat="1" ht="27" customHeight="1" outlineLevel="1">
      <c r="A119" s="160" t="s">
        <v>576</v>
      </c>
      <c r="B119" s="143" t="s">
        <v>577</v>
      </c>
      <c r="C119" s="163" t="s">
        <v>523</v>
      </c>
      <c r="D119" s="263">
        <v>100000</v>
      </c>
      <c r="E119" s="263">
        <v>100000</v>
      </c>
      <c r="F119" s="263">
        <v>100000</v>
      </c>
      <c r="G119" s="263">
        <v>100000</v>
      </c>
      <c r="H119" s="263">
        <v>100000</v>
      </c>
      <c r="I119" s="263">
        <v>100000</v>
      </c>
      <c r="J119" s="263">
        <v>100000</v>
      </c>
      <c r="K119" s="263">
        <v>100000</v>
      </c>
      <c r="L119" s="263">
        <v>100000</v>
      </c>
      <c r="M119" s="263">
        <v>100000</v>
      </c>
      <c r="N119" s="263">
        <v>100000</v>
      </c>
      <c r="O119" s="263">
        <v>100000</v>
      </c>
      <c r="P119" s="262">
        <f t="shared" si="50"/>
        <v>300000</v>
      </c>
      <c r="Q119" s="262">
        <f t="shared" si="51"/>
        <v>300000</v>
      </c>
      <c r="R119" s="262">
        <f t="shared" si="52"/>
        <v>300000</v>
      </c>
      <c r="S119" s="262">
        <f t="shared" si="53"/>
        <v>300000</v>
      </c>
      <c r="T119" s="261">
        <f t="shared" si="54"/>
        <v>1200000</v>
      </c>
      <c r="U119" s="144"/>
      <c r="V119" s="352"/>
    </row>
    <row r="120" spans="1:22" s="351" customFormat="1" ht="27" customHeight="1" outlineLevel="1">
      <c r="A120" s="160" t="s">
        <v>578</v>
      </c>
      <c r="B120" s="143" t="s">
        <v>579</v>
      </c>
      <c r="C120" s="163" t="s">
        <v>523</v>
      </c>
      <c r="D120" s="263">
        <v>118000</v>
      </c>
      <c r="E120" s="263">
        <v>118000</v>
      </c>
      <c r="F120" s="263">
        <v>118000</v>
      </c>
      <c r="G120" s="263">
        <v>118000</v>
      </c>
      <c r="H120" s="263">
        <v>118000</v>
      </c>
      <c r="I120" s="263">
        <v>118000</v>
      </c>
      <c r="J120" s="263">
        <v>118000</v>
      </c>
      <c r="K120" s="263">
        <v>118000</v>
      </c>
      <c r="L120" s="263">
        <v>118000</v>
      </c>
      <c r="M120" s="263">
        <v>118000</v>
      </c>
      <c r="N120" s="263">
        <v>118000</v>
      </c>
      <c r="O120" s="263">
        <v>118000</v>
      </c>
      <c r="P120" s="262">
        <f t="shared" si="50"/>
        <v>354000</v>
      </c>
      <c r="Q120" s="262">
        <f t="shared" si="51"/>
        <v>354000</v>
      </c>
      <c r="R120" s="262">
        <f t="shared" si="52"/>
        <v>354000</v>
      </c>
      <c r="S120" s="262">
        <f t="shared" si="53"/>
        <v>354000</v>
      </c>
      <c r="T120" s="261">
        <f t="shared" si="54"/>
        <v>1416000</v>
      </c>
      <c r="U120" s="144"/>
      <c r="V120" s="352"/>
    </row>
    <row r="121" spans="1:22" s="339" customFormat="1" ht="27" customHeight="1" outlineLevel="1">
      <c r="A121" s="160" t="s">
        <v>580</v>
      </c>
      <c r="B121" s="143" t="s">
        <v>581</v>
      </c>
      <c r="C121" s="163" t="s">
        <v>523</v>
      </c>
      <c r="D121" s="263">
        <v>430000</v>
      </c>
      <c r="E121" s="263">
        <v>430000</v>
      </c>
      <c r="F121" s="263">
        <v>720000</v>
      </c>
      <c r="G121" s="263">
        <v>720000</v>
      </c>
      <c r="H121" s="263">
        <v>720000</v>
      </c>
      <c r="I121" s="263">
        <v>720000</v>
      </c>
      <c r="J121" s="263">
        <v>720000</v>
      </c>
      <c r="K121" s="263">
        <v>720000</v>
      </c>
      <c r="L121" s="263">
        <v>720000</v>
      </c>
      <c r="M121" s="263">
        <v>720000</v>
      </c>
      <c r="N121" s="263">
        <v>720000</v>
      </c>
      <c r="O121" s="263">
        <v>720000</v>
      </c>
      <c r="P121" s="262">
        <f t="shared" si="50"/>
        <v>1580000</v>
      </c>
      <c r="Q121" s="262">
        <f t="shared" si="51"/>
        <v>2160000</v>
      </c>
      <c r="R121" s="262">
        <f t="shared" si="52"/>
        <v>2160000</v>
      </c>
      <c r="S121" s="262">
        <f t="shared" si="53"/>
        <v>2160000</v>
      </c>
      <c r="T121" s="261">
        <f t="shared" si="54"/>
        <v>8060000</v>
      </c>
      <c r="U121" s="380"/>
      <c r="V121" s="340"/>
    </row>
    <row r="122" spans="1:22" s="276" customFormat="1" ht="27" customHeight="1" outlineLevel="1">
      <c r="A122" s="160" t="s">
        <v>582</v>
      </c>
      <c r="B122" s="143" t="s">
        <v>583</v>
      </c>
      <c r="C122" s="163" t="s">
        <v>523</v>
      </c>
      <c r="D122" s="263">
        <v>1987000</v>
      </c>
      <c r="E122" s="263">
        <v>1987000</v>
      </c>
      <c r="F122" s="263">
        <v>1987000</v>
      </c>
      <c r="G122" s="263">
        <v>1987000</v>
      </c>
      <c r="H122" s="263">
        <v>1987000</v>
      </c>
      <c r="I122" s="263">
        <v>1987000</v>
      </c>
      <c r="J122" s="263">
        <v>1987000</v>
      </c>
      <c r="K122" s="263">
        <v>1987000</v>
      </c>
      <c r="L122" s="263">
        <v>1987000</v>
      </c>
      <c r="M122" s="263">
        <v>1987000</v>
      </c>
      <c r="N122" s="263">
        <v>1987000</v>
      </c>
      <c r="O122" s="263">
        <v>1987000</v>
      </c>
      <c r="P122" s="262">
        <f t="shared" si="50"/>
        <v>5961000</v>
      </c>
      <c r="Q122" s="262">
        <f t="shared" si="51"/>
        <v>5961000</v>
      </c>
      <c r="R122" s="262">
        <f t="shared" si="52"/>
        <v>5961000</v>
      </c>
      <c r="S122" s="262">
        <f t="shared" si="53"/>
        <v>5961000</v>
      </c>
      <c r="T122" s="261">
        <f t="shared" si="54"/>
        <v>23844000</v>
      </c>
      <c r="U122" s="144"/>
      <c r="V122" s="336"/>
    </row>
    <row r="123" spans="1:22" ht="27" customHeight="1" outlineLevel="1">
      <c r="A123" s="143" t="s">
        <v>584</v>
      </c>
      <c r="B123" s="143"/>
      <c r="C123" s="163"/>
      <c r="D123" s="263" t="s">
        <v>358</v>
      </c>
      <c r="E123" s="264" t="s">
        <v>358</v>
      </c>
      <c r="F123" s="264" t="s">
        <v>358</v>
      </c>
      <c r="G123" s="264" t="s">
        <v>358</v>
      </c>
      <c r="H123" s="264" t="s">
        <v>358</v>
      </c>
      <c r="I123" s="264" t="s">
        <v>358</v>
      </c>
      <c r="J123" s="264" t="s">
        <v>358</v>
      </c>
      <c r="K123" s="264" t="s">
        <v>358</v>
      </c>
      <c r="L123" s="264" t="s">
        <v>358</v>
      </c>
      <c r="M123" s="264" t="s">
        <v>358</v>
      </c>
      <c r="N123" s="264" t="s">
        <v>358</v>
      </c>
      <c r="O123" s="264" t="s">
        <v>358</v>
      </c>
      <c r="P123" s="262">
        <f t="shared" si="50"/>
        <v>0</v>
      </c>
      <c r="Q123" s="262">
        <f t="shared" si="51"/>
        <v>0</v>
      </c>
      <c r="R123" s="262">
        <f t="shared" si="52"/>
        <v>0</v>
      </c>
      <c r="S123" s="262">
        <f t="shared" si="53"/>
        <v>0</v>
      </c>
      <c r="T123" s="261">
        <f t="shared" si="54"/>
        <v>0</v>
      </c>
      <c r="U123" s="144"/>
    </row>
    <row r="124" spans="1:22" ht="27" customHeight="1" outlineLevel="1">
      <c r="A124" s="143" t="s">
        <v>585</v>
      </c>
      <c r="B124" s="143"/>
      <c r="C124" s="163"/>
      <c r="D124" s="235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2">
        <f t="shared" si="50"/>
        <v>0</v>
      </c>
      <c r="Q124" s="262">
        <f t="shared" si="51"/>
        <v>0</v>
      </c>
      <c r="R124" s="262">
        <f t="shared" si="52"/>
        <v>0</v>
      </c>
      <c r="S124" s="262">
        <f t="shared" si="53"/>
        <v>0</v>
      </c>
      <c r="T124" s="261">
        <f t="shared" si="54"/>
        <v>0</v>
      </c>
      <c r="U124" s="144"/>
    </row>
    <row r="125" spans="1:22" s="139" customFormat="1" ht="27" customHeight="1">
      <c r="A125" s="160"/>
      <c r="B125" s="161" t="s">
        <v>151</v>
      </c>
      <c r="C125" s="162"/>
      <c r="D125" s="234">
        <f>SUM(D94:D124)</f>
        <v>6044926.1799999997</v>
      </c>
      <c r="E125" s="234">
        <f t="shared" ref="E125:O125" si="55">SUM(E94:E124)</f>
        <v>5978326.1799999997</v>
      </c>
      <c r="F125" s="234">
        <f t="shared" si="55"/>
        <v>6268326.1799999997</v>
      </c>
      <c r="G125" s="234">
        <f t="shared" si="55"/>
        <v>6286226.1799999997</v>
      </c>
      <c r="H125" s="234">
        <f t="shared" si="55"/>
        <v>6186326.1799999997</v>
      </c>
      <c r="I125" s="234">
        <f t="shared" si="55"/>
        <v>6241998.9199999999</v>
      </c>
      <c r="J125" s="234">
        <f t="shared" si="55"/>
        <v>6186998.9199999999</v>
      </c>
      <c r="K125" s="234">
        <f t="shared" si="55"/>
        <v>6205998.9199999999</v>
      </c>
      <c r="L125" s="234">
        <f t="shared" si="55"/>
        <v>6206233.04</v>
      </c>
      <c r="M125" s="234">
        <f t="shared" si="55"/>
        <v>6206233.04</v>
      </c>
      <c r="N125" s="234">
        <f t="shared" si="55"/>
        <v>6206233.04</v>
      </c>
      <c r="O125" s="234">
        <f t="shared" si="55"/>
        <v>6206233.04</v>
      </c>
      <c r="P125" s="234">
        <f t="shared" ref="P125" si="56">SUM(D125:F125)</f>
        <v>18291578.539999999</v>
      </c>
      <c r="Q125" s="234">
        <f t="shared" ref="Q125" si="57">SUM(G125:I125)</f>
        <v>18714551.280000001</v>
      </c>
      <c r="R125" s="234">
        <f t="shared" ref="R125" si="58">SUM(J125:L125)</f>
        <v>18599230.879999999</v>
      </c>
      <c r="S125" s="234">
        <f t="shared" ref="S125" si="59">SUM(M125:O125)</f>
        <v>18618699.120000001</v>
      </c>
      <c r="T125" s="234">
        <f>SUM(T94:T124)</f>
        <v>74224059.819999993</v>
      </c>
      <c r="U125" s="417">
        <f>T125/T315</f>
        <v>0.3491099759810613</v>
      </c>
      <c r="V125" s="227"/>
    </row>
    <row r="126" spans="1:22" s="139" customFormat="1" ht="27" customHeight="1">
      <c r="A126" s="158" t="s">
        <v>586</v>
      </c>
      <c r="B126" s="159" t="s">
        <v>587</v>
      </c>
      <c r="C126" s="159" t="s">
        <v>335</v>
      </c>
      <c r="D126" s="202" t="s">
        <v>336</v>
      </c>
      <c r="E126" s="202" t="s">
        <v>337</v>
      </c>
      <c r="F126" s="202" t="s">
        <v>338</v>
      </c>
      <c r="G126" s="202" t="s">
        <v>339</v>
      </c>
      <c r="H126" s="202" t="s">
        <v>340</v>
      </c>
      <c r="I126" s="202" t="s">
        <v>341</v>
      </c>
      <c r="J126" s="202" t="s">
        <v>342</v>
      </c>
      <c r="K126" s="202" t="s">
        <v>343</v>
      </c>
      <c r="L126" s="202" t="s">
        <v>344</v>
      </c>
      <c r="M126" s="202" t="s">
        <v>345</v>
      </c>
      <c r="N126" s="202" t="s">
        <v>346</v>
      </c>
      <c r="O126" s="202" t="s">
        <v>347</v>
      </c>
      <c r="P126" s="202" t="s">
        <v>348</v>
      </c>
      <c r="Q126" s="202" t="s">
        <v>349</v>
      </c>
      <c r="R126" s="202" t="s">
        <v>350</v>
      </c>
      <c r="S126" s="202" t="s">
        <v>351</v>
      </c>
      <c r="T126" s="202" t="s">
        <v>352</v>
      </c>
      <c r="U126" s="157"/>
      <c r="V126" s="227"/>
    </row>
    <row r="127" spans="1:22" s="349" customFormat="1" ht="27" customHeight="1" outlineLevel="1">
      <c r="A127" s="143" t="s">
        <v>588</v>
      </c>
      <c r="B127" s="381" t="s">
        <v>589</v>
      </c>
      <c r="C127" s="231" t="s">
        <v>430</v>
      </c>
      <c r="D127" s="267">
        <v>14001.27</v>
      </c>
      <c r="E127" s="267">
        <v>14001.27</v>
      </c>
      <c r="F127" s="267">
        <v>14001.27</v>
      </c>
      <c r="G127" s="267">
        <v>14001.27</v>
      </c>
      <c r="H127" s="267">
        <v>14001.27</v>
      </c>
      <c r="I127" s="267">
        <v>14001.27</v>
      </c>
      <c r="J127" s="267">
        <v>14001.27</v>
      </c>
      <c r="K127" s="267">
        <v>14001.27</v>
      </c>
      <c r="L127" s="267">
        <v>14001.27</v>
      </c>
      <c r="M127" s="267">
        <v>14001.27</v>
      </c>
      <c r="N127" s="267">
        <v>14001.27</v>
      </c>
      <c r="O127" s="267">
        <v>14001.27</v>
      </c>
      <c r="P127" s="262">
        <f t="shared" ref="P127:P147" si="60">SUM(D127:F127)</f>
        <v>42003.81</v>
      </c>
      <c r="Q127" s="262">
        <f>SUM(G127:I127)</f>
        <v>42003.81</v>
      </c>
      <c r="R127" s="262">
        <f>SUM(J127:L127)</f>
        <v>42003.81</v>
      </c>
      <c r="S127" s="262">
        <f>SUM(M127:O127)</f>
        <v>42003.81</v>
      </c>
      <c r="T127" s="262">
        <f>SUM(D127:O127)</f>
        <v>168015.24</v>
      </c>
      <c r="U127" s="144"/>
      <c r="V127" s="363"/>
    </row>
    <row r="128" spans="1:22" ht="27" customHeight="1" outlineLevel="1">
      <c r="A128" s="143" t="s">
        <v>590</v>
      </c>
      <c r="B128" s="270" t="s">
        <v>591</v>
      </c>
      <c r="C128" s="229" t="s">
        <v>355</v>
      </c>
      <c r="D128" s="264">
        <v>47300</v>
      </c>
      <c r="E128" s="264">
        <v>47300</v>
      </c>
      <c r="F128" s="264">
        <v>47300</v>
      </c>
      <c r="G128" s="264">
        <v>47300</v>
      </c>
      <c r="H128" s="264">
        <v>47300</v>
      </c>
      <c r="I128" s="264">
        <v>47300</v>
      </c>
      <c r="J128" s="264">
        <v>47300</v>
      </c>
      <c r="K128" s="264">
        <v>47300</v>
      </c>
      <c r="L128" s="264">
        <v>47300</v>
      </c>
      <c r="M128" s="264">
        <v>47300</v>
      </c>
      <c r="N128" s="264">
        <v>47300</v>
      </c>
      <c r="O128" s="264">
        <v>47300</v>
      </c>
      <c r="P128" s="262">
        <f t="shared" si="60"/>
        <v>141900</v>
      </c>
      <c r="Q128" s="262">
        <f t="shared" ref="Q128:Q147" si="61">SUM(G128:I128)</f>
        <v>141900</v>
      </c>
      <c r="R128" s="262">
        <f t="shared" ref="R128:R147" si="62">SUM(J128:L128)</f>
        <v>141900</v>
      </c>
      <c r="S128" s="262">
        <f t="shared" ref="S128:S147" si="63">SUM(M128:O128)</f>
        <v>141900</v>
      </c>
      <c r="T128" s="262">
        <f t="shared" ref="T128:T139" si="64">SUM(D128:O128)</f>
        <v>567600</v>
      </c>
      <c r="U128" s="144"/>
    </row>
    <row r="129" spans="1:21" ht="27" customHeight="1" outlineLevel="1">
      <c r="A129" s="143" t="s">
        <v>592</v>
      </c>
      <c r="B129" s="270" t="s">
        <v>593</v>
      </c>
      <c r="C129" s="228" t="s">
        <v>483</v>
      </c>
      <c r="D129" s="264">
        <v>12213.09</v>
      </c>
      <c r="E129" s="264">
        <v>12213.09</v>
      </c>
      <c r="F129" s="264">
        <v>12213.09</v>
      </c>
      <c r="G129" s="264">
        <v>12213.09</v>
      </c>
      <c r="H129" s="264">
        <v>12213.09</v>
      </c>
      <c r="I129" s="264">
        <v>12213.09</v>
      </c>
      <c r="J129" s="264">
        <v>12213.09</v>
      </c>
      <c r="K129" s="264">
        <v>12213.09</v>
      </c>
      <c r="L129" s="264">
        <v>12213.09</v>
      </c>
      <c r="M129" s="264">
        <f>$L129*1.05</f>
        <v>12823.744500000001</v>
      </c>
      <c r="N129" s="264">
        <f>$L129*1.05</f>
        <v>12823.744500000001</v>
      </c>
      <c r="O129" s="264">
        <f>$L129*1.05</f>
        <v>12823.744500000001</v>
      </c>
      <c r="P129" s="262">
        <f t="shared" si="60"/>
        <v>36639.270000000004</v>
      </c>
      <c r="Q129" s="262">
        <f t="shared" si="61"/>
        <v>36639.270000000004</v>
      </c>
      <c r="R129" s="262">
        <f t="shared" si="62"/>
        <v>36639.270000000004</v>
      </c>
      <c r="S129" s="262">
        <f t="shared" si="63"/>
        <v>38471.233500000002</v>
      </c>
      <c r="T129" s="262">
        <f t="shared" si="64"/>
        <v>148389.0435</v>
      </c>
      <c r="U129" s="144"/>
    </row>
    <row r="130" spans="1:21" ht="27" customHeight="1" outlineLevel="1">
      <c r="A130" s="143" t="s">
        <v>594</v>
      </c>
      <c r="B130" s="270" t="s">
        <v>595</v>
      </c>
      <c r="C130" s="228" t="s">
        <v>483</v>
      </c>
      <c r="D130" s="264">
        <v>58335.91</v>
      </c>
      <c r="E130" s="264">
        <v>58335.91</v>
      </c>
      <c r="F130" s="264">
        <f>E130*1.075</f>
        <v>62711.10325</v>
      </c>
      <c r="G130" s="264">
        <v>62711.10325</v>
      </c>
      <c r="H130" s="264">
        <v>62711.10325</v>
      </c>
      <c r="I130" s="264">
        <v>62711.10325</v>
      </c>
      <c r="J130" s="264">
        <v>62711.10325</v>
      </c>
      <c r="K130" s="264">
        <v>62711.10325</v>
      </c>
      <c r="L130" s="264">
        <v>62711.10325</v>
      </c>
      <c r="M130" s="264">
        <v>62711.10325</v>
      </c>
      <c r="N130" s="264">
        <v>62711.10325</v>
      </c>
      <c r="O130" s="264">
        <v>62711.10325</v>
      </c>
      <c r="P130" s="262">
        <f t="shared" si="60"/>
        <v>179382.92324999999</v>
      </c>
      <c r="Q130" s="262">
        <f t="shared" si="61"/>
        <v>188133.30975000001</v>
      </c>
      <c r="R130" s="262">
        <f t="shared" si="62"/>
        <v>188133.30975000001</v>
      </c>
      <c r="S130" s="262">
        <f t="shared" si="63"/>
        <v>188133.30975000001</v>
      </c>
      <c r="T130" s="262">
        <f t="shared" si="64"/>
        <v>743782.85250000004</v>
      </c>
      <c r="U130" s="144"/>
    </row>
    <row r="131" spans="1:21" ht="27" customHeight="1" outlineLevel="1">
      <c r="A131" s="143" t="s">
        <v>596</v>
      </c>
      <c r="B131" s="270" t="s">
        <v>597</v>
      </c>
      <c r="C131" s="228" t="s">
        <v>483</v>
      </c>
      <c r="D131" s="264">
        <v>4166.66</v>
      </c>
      <c r="E131" s="264">
        <v>4166.66</v>
      </c>
      <c r="F131" s="264">
        <v>4166.66</v>
      </c>
      <c r="G131" s="264">
        <v>4166.66</v>
      </c>
      <c r="H131" s="264">
        <v>4166.66</v>
      </c>
      <c r="I131" s="264">
        <v>4166.66</v>
      </c>
      <c r="J131" s="264">
        <v>4166.66</v>
      </c>
      <c r="K131" s="264">
        <v>4166.66</v>
      </c>
      <c r="L131" s="264">
        <v>4166.66</v>
      </c>
      <c r="M131" s="264">
        <v>4166.66</v>
      </c>
      <c r="N131" s="264">
        <v>4166.66</v>
      </c>
      <c r="O131" s="264">
        <v>4166.66</v>
      </c>
      <c r="P131" s="262">
        <f t="shared" si="60"/>
        <v>12499.98</v>
      </c>
      <c r="Q131" s="262">
        <f t="shared" si="61"/>
        <v>12499.98</v>
      </c>
      <c r="R131" s="262">
        <f t="shared" si="62"/>
        <v>12499.98</v>
      </c>
      <c r="S131" s="262">
        <f t="shared" si="63"/>
        <v>12499.98</v>
      </c>
      <c r="T131" s="262">
        <f t="shared" si="64"/>
        <v>49999.920000000013</v>
      </c>
      <c r="U131" s="144"/>
    </row>
    <row r="132" spans="1:21" ht="27" customHeight="1" outlineLevel="1">
      <c r="A132" s="143" t="s">
        <v>598</v>
      </c>
      <c r="B132" s="270" t="s">
        <v>599</v>
      </c>
      <c r="C132" s="228" t="s">
        <v>483</v>
      </c>
      <c r="D132" s="264">
        <v>15255.77</v>
      </c>
      <c r="E132" s="264">
        <v>15255.77</v>
      </c>
      <c r="F132" s="264">
        <v>15255.77</v>
      </c>
      <c r="G132" s="264">
        <f>F132*1.075</f>
        <v>16399.95275</v>
      </c>
      <c r="H132" s="264">
        <v>16399.95275</v>
      </c>
      <c r="I132" s="264">
        <v>16399.95275</v>
      </c>
      <c r="J132" s="264">
        <v>16399.95275</v>
      </c>
      <c r="K132" s="264">
        <v>16399.95275</v>
      </c>
      <c r="L132" s="264">
        <v>16399.95275</v>
      </c>
      <c r="M132" s="264">
        <v>16399.95275</v>
      </c>
      <c r="N132" s="264">
        <v>16399.95275</v>
      </c>
      <c r="O132" s="264">
        <v>16399.95275</v>
      </c>
      <c r="P132" s="262">
        <f t="shared" si="60"/>
        <v>45767.31</v>
      </c>
      <c r="Q132" s="262">
        <f t="shared" si="61"/>
        <v>49199.858250000005</v>
      </c>
      <c r="R132" s="262">
        <f t="shared" si="62"/>
        <v>49199.858250000005</v>
      </c>
      <c r="S132" s="262">
        <f t="shared" si="63"/>
        <v>49199.858250000005</v>
      </c>
      <c r="T132" s="262">
        <f t="shared" si="64"/>
        <v>193366.88474999997</v>
      </c>
      <c r="U132" s="144"/>
    </row>
    <row r="133" spans="1:21" ht="27" customHeight="1" outlineLevel="1">
      <c r="A133" s="143" t="s">
        <v>600</v>
      </c>
      <c r="B133" s="270" t="s">
        <v>601</v>
      </c>
      <c r="C133" s="228" t="s">
        <v>483</v>
      </c>
      <c r="D133" s="264">
        <v>34020.51</v>
      </c>
      <c r="E133" s="264">
        <v>34020.51</v>
      </c>
      <c r="F133" s="264">
        <v>34020.51</v>
      </c>
      <c r="G133" s="264">
        <f>F133*1.075</f>
        <v>36572.04825</v>
      </c>
      <c r="H133" s="264">
        <v>36572.04825</v>
      </c>
      <c r="I133" s="264">
        <v>36572.04825</v>
      </c>
      <c r="J133" s="264">
        <v>36572.04825</v>
      </c>
      <c r="K133" s="264">
        <v>36572.04825</v>
      </c>
      <c r="L133" s="264">
        <v>36572.04825</v>
      </c>
      <c r="M133" s="264">
        <v>36572.04825</v>
      </c>
      <c r="N133" s="264">
        <v>36572.04825</v>
      </c>
      <c r="O133" s="264">
        <v>36572.04825</v>
      </c>
      <c r="P133" s="262">
        <f t="shared" si="60"/>
        <v>102061.53</v>
      </c>
      <c r="Q133" s="262">
        <f t="shared" si="61"/>
        <v>109716.14475000001</v>
      </c>
      <c r="R133" s="262">
        <f t="shared" si="62"/>
        <v>109716.14475000001</v>
      </c>
      <c r="S133" s="262">
        <f t="shared" si="63"/>
        <v>109716.14475000001</v>
      </c>
      <c r="T133" s="262">
        <f t="shared" si="64"/>
        <v>431209.96424999996</v>
      </c>
      <c r="U133" s="144"/>
    </row>
    <row r="134" spans="1:21" ht="27" customHeight="1" outlineLevel="1">
      <c r="A134" s="143" t="s">
        <v>602</v>
      </c>
      <c r="B134" s="270" t="s">
        <v>603</v>
      </c>
      <c r="C134" s="228" t="s">
        <v>483</v>
      </c>
      <c r="D134" s="264">
        <v>3750</v>
      </c>
      <c r="E134" s="264">
        <v>3750</v>
      </c>
      <c r="F134" s="264">
        <v>3750</v>
      </c>
      <c r="G134" s="264">
        <v>3750</v>
      </c>
      <c r="H134" s="264">
        <v>3750</v>
      </c>
      <c r="I134" s="264">
        <v>3750</v>
      </c>
      <c r="J134" s="264">
        <v>3750</v>
      </c>
      <c r="K134" s="264">
        <v>3750</v>
      </c>
      <c r="L134" s="264">
        <v>3750</v>
      </c>
      <c r="M134" s="264">
        <v>3750</v>
      </c>
      <c r="N134" s="264">
        <v>3750</v>
      </c>
      <c r="O134" s="264">
        <v>3750</v>
      </c>
      <c r="P134" s="262">
        <f t="shared" si="60"/>
        <v>11250</v>
      </c>
      <c r="Q134" s="262">
        <f t="shared" si="61"/>
        <v>11250</v>
      </c>
      <c r="R134" s="262">
        <f t="shared" si="62"/>
        <v>11250</v>
      </c>
      <c r="S134" s="262">
        <f t="shared" si="63"/>
        <v>11250</v>
      </c>
      <c r="T134" s="262">
        <f t="shared" si="64"/>
        <v>45000</v>
      </c>
      <c r="U134" s="144"/>
    </row>
    <row r="135" spans="1:21" ht="27" customHeight="1" outlineLevel="1">
      <c r="A135" s="143" t="s">
        <v>604</v>
      </c>
      <c r="B135" s="270" t="s">
        <v>605</v>
      </c>
      <c r="C135" s="228" t="s">
        <v>483</v>
      </c>
      <c r="D135" s="264">
        <v>1000</v>
      </c>
      <c r="E135" s="264">
        <v>1000</v>
      </c>
      <c r="F135" s="264">
        <v>1000</v>
      </c>
      <c r="G135" s="264">
        <v>1000</v>
      </c>
      <c r="H135" s="264">
        <v>1000</v>
      </c>
      <c r="I135" s="264">
        <v>1000</v>
      </c>
      <c r="J135" s="264">
        <v>1000</v>
      </c>
      <c r="K135" s="264">
        <v>1000</v>
      </c>
      <c r="L135" s="264">
        <v>1000</v>
      </c>
      <c r="M135" s="264">
        <v>1000</v>
      </c>
      <c r="N135" s="264">
        <v>1000</v>
      </c>
      <c r="O135" s="264">
        <v>1000</v>
      </c>
      <c r="P135" s="262">
        <f t="shared" si="60"/>
        <v>3000</v>
      </c>
      <c r="Q135" s="262">
        <f t="shared" si="61"/>
        <v>3000</v>
      </c>
      <c r="R135" s="262">
        <f t="shared" si="62"/>
        <v>3000</v>
      </c>
      <c r="S135" s="262">
        <f t="shared" si="63"/>
        <v>3000</v>
      </c>
      <c r="T135" s="262">
        <f t="shared" si="64"/>
        <v>12000</v>
      </c>
      <c r="U135" s="144"/>
    </row>
    <row r="136" spans="1:21" ht="27" customHeight="1" outlineLevel="1">
      <c r="A136" s="143" t="s">
        <v>606</v>
      </c>
      <c r="B136" s="270" t="s">
        <v>607</v>
      </c>
      <c r="C136" s="229" t="s">
        <v>608</v>
      </c>
      <c r="D136" s="264" t="s">
        <v>358</v>
      </c>
      <c r="E136" s="264" t="s">
        <v>358</v>
      </c>
      <c r="F136" s="264">
        <v>60000</v>
      </c>
      <c r="G136" s="264"/>
      <c r="H136" s="264"/>
      <c r="I136" s="264"/>
      <c r="J136" s="264"/>
      <c r="K136" s="264"/>
      <c r="L136" s="264"/>
      <c r="M136" s="264"/>
      <c r="N136" s="264"/>
      <c r="O136" s="264"/>
      <c r="P136" s="262">
        <f t="shared" si="60"/>
        <v>60000</v>
      </c>
      <c r="Q136" s="262">
        <f t="shared" si="61"/>
        <v>0</v>
      </c>
      <c r="R136" s="262">
        <f t="shared" si="62"/>
        <v>0</v>
      </c>
      <c r="S136" s="262">
        <f t="shared" si="63"/>
        <v>0</v>
      </c>
      <c r="T136" s="262">
        <f t="shared" si="64"/>
        <v>60000</v>
      </c>
      <c r="U136" s="144"/>
    </row>
    <row r="137" spans="1:21" ht="27" customHeight="1" outlineLevel="1">
      <c r="A137" s="143" t="s">
        <v>609</v>
      </c>
      <c r="B137" s="270" t="s">
        <v>610</v>
      </c>
      <c r="C137" s="229" t="s">
        <v>355</v>
      </c>
      <c r="D137" s="264">
        <v>4166.66</v>
      </c>
      <c r="E137" s="264">
        <v>4166.66</v>
      </c>
      <c r="F137" s="264">
        <v>4166.66</v>
      </c>
      <c r="G137" s="264">
        <v>4166.66</v>
      </c>
      <c r="H137" s="264">
        <v>4166.66</v>
      </c>
      <c r="I137" s="264">
        <v>4166.66</v>
      </c>
      <c r="J137" s="264">
        <v>4166.66</v>
      </c>
      <c r="K137" s="264">
        <v>4166.66</v>
      </c>
      <c r="L137" s="264">
        <v>4166.66</v>
      </c>
      <c r="M137" s="264">
        <v>4166.66</v>
      </c>
      <c r="N137" s="264">
        <v>4166.66</v>
      </c>
      <c r="O137" s="264">
        <v>4166.66</v>
      </c>
      <c r="P137" s="262">
        <f t="shared" si="60"/>
        <v>12499.98</v>
      </c>
      <c r="Q137" s="262">
        <f t="shared" si="61"/>
        <v>12499.98</v>
      </c>
      <c r="R137" s="262">
        <f t="shared" si="62"/>
        <v>12499.98</v>
      </c>
      <c r="S137" s="262">
        <f t="shared" si="63"/>
        <v>12499.98</v>
      </c>
      <c r="T137" s="262">
        <f t="shared" si="64"/>
        <v>49999.920000000013</v>
      </c>
      <c r="U137" s="144"/>
    </row>
    <row r="138" spans="1:21" ht="27" customHeight="1" outlineLevel="1">
      <c r="A138" s="143" t="s">
        <v>611</v>
      </c>
      <c r="B138" s="270" t="s">
        <v>612</v>
      </c>
      <c r="C138" s="229" t="s">
        <v>355</v>
      </c>
      <c r="D138" s="264">
        <v>350000</v>
      </c>
      <c r="E138" s="264">
        <v>500000</v>
      </c>
      <c r="F138" s="264">
        <v>350000</v>
      </c>
      <c r="G138" s="264">
        <v>350000</v>
      </c>
      <c r="H138" s="264">
        <v>350000</v>
      </c>
      <c r="I138" s="264">
        <v>350000</v>
      </c>
      <c r="J138" s="264">
        <v>350000</v>
      </c>
      <c r="K138" s="264">
        <v>350000</v>
      </c>
      <c r="L138" s="264">
        <v>350000</v>
      </c>
      <c r="M138" s="264">
        <v>350000</v>
      </c>
      <c r="N138" s="264">
        <v>350000</v>
      </c>
      <c r="O138" s="264">
        <v>350000</v>
      </c>
      <c r="P138" s="262">
        <f t="shared" si="60"/>
        <v>1200000</v>
      </c>
      <c r="Q138" s="262">
        <f t="shared" si="61"/>
        <v>1050000</v>
      </c>
      <c r="R138" s="262">
        <f t="shared" si="62"/>
        <v>1050000</v>
      </c>
      <c r="S138" s="262">
        <f t="shared" si="63"/>
        <v>1050000</v>
      </c>
      <c r="T138" s="262">
        <f>SUM(D138:O138)</f>
        <v>4350000</v>
      </c>
      <c r="U138" s="144"/>
    </row>
    <row r="139" spans="1:21" ht="27" customHeight="1" outlineLevel="1">
      <c r="A139" s="143" t="s">
        <v>613</v>
      </c>
      <c r="B139" s="270" t="s">
        <v>614</v>
      </c>
      <c r="C139" s="228" t="s">
        <v>355</v>
      </c>
      <c r="D139" s="261"/>
      <c r="E139" s="261"/>
      <c r="F139" s="261"/>
      <c r="G139" s="261"/>
      <c r="H139" s="261"/>
      <c r="I139" s="261"/>
      <c r="J139" s="261"/>
      <c r="K139" s="261"/>
      <c r="L139" s="261"/>
      <c r="M139" s="261"/>
      <c r="N139" s="261"/>
      <c r="O139" s="261"/>
      <c r="P139" s="262">
        <f t="shared" si="60"/>
        <v>0</v>
      </c>
      <c r="Q139" s="262">
        <f t="shared" si="61"/>
        <v>0</v>
      </c>
      <c r="R139" s="262">
        <f t="shared" si="62"/>
        <v>0</v>
      </c>
      <c r="S139" s="262">
        <f t="shared" si="63"/>
        <v>0</v>
      </c>
      <c r="T139" s="262">
        <f t="shared" si="64"/>
        <v>0</v>
      </c>
      <c r="U139" s="144" t="s">
        <v>615</v>
      </c>
    </row>
    <row r="140" spans="1:21" ht="27" customHeight="1" outlineLevel="1">
      <c r="A140" s="143" t="s">
        <v>616</v>
      </c>
      <c r="B140" s="143" t="s">
        <v>617</v>
      </c>
      <c r="C140" s="163" t="s">
        <v>523</v>
      </c>
      <c r="D140" s="263">
        <v>2383.29</v>
      </c>
      <c r="E140" s="263">
        <v>2383.29</v>
      </c>
      <c r="F140" s="263">
        <v>2383.29</v>
      </c>
      <c r="G140" s="263">
        <v>2383.29</v>
      </c>
      <c r="H140" s="263">
        <v>2383.29</v>
      </c>
      <c r="I140" s="263">
        <v>2383.29</v>
      </c>
      <c r="J140" s="263">
        <v>2383.29</v>
      </c>
      <c r="K140" s="263">
        <v>2383.29</v>
      </c>
      <c r="L140" s="263">
        <v>2383.29</v>
      </c>
      <c r="M140" s="263">
        <v>2383.29</v>
      </c>
      <c r="N140" s="263">
        <v>2383.29</v>
      </c>
      <c r="O140" s="263">
        <v>2383.29</v>
      </c>
      <c r="P140" s="262">
        <f t="shared" si="60"/>
        <v>7149.87</v>
      </c>
      <c r="Q140" s="262">
        <f t="shared" si="61"/>
        <v>7149.87</v>
      </c>
      <c r="R140" s="262">
        <f t="shared" si="62"/>
        <v>7149.87</v>
      </c>
      <c r="S140" s="262">
        <f t="shared" si="63"/>
        <v>7149.87</v>
      </c>
      <c r="T140" s="261">
        <f>SUM(D140:O140)</f>
        <v>28599.480000000007</v>
      </c>
      <c r="U140" s="144"/>
    </row>
    <row r="141" spans="1:21" ht="27" customHeight="1" outlineLevel="1">
      <c r="A141" s="143" t="s">
        <v>618</v>
      </c>
      <c r="B141" s="143" t="s">
        <v>619</v>
      </c>
      <c r="C141" s="163" t="s">
        <v>523</v>
      </c>
      <c r="D141" s="263">
        <v>0</v>
      </c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2">
        <f t="shared" si="60"/>
        <v>0</v>
      </c>
      <c r="Q141" s="262">
        <f t="shared" si="61"/>
        <v>0</v>
      </c>
      <c r="R141" s="262">
        <f t="shared" si="62"/>
        <v>0</v>
      </c>
      <c r="S141" s="262">
        <f t="shared" si="63"/>
        <v>0</v>
      </c>
      <c r="T141" s="261">
        <f t="shared" ref="T141" si="65">SUM(D141:O141)</f>
        <v>0</v>
      </c>
      <c r="U141" s="144"/>
    </row>
    <row r="142" spans="1:21" ht="27" customHeight="1" outlineLevel="1">
      <c r="A142" s="143" t="s">
        <v>620</v>
      </c>
      <c r="B142" s="143" t="s">
        <v>621</v>
      </c>
      <c r="C142" s="384" t="s">
        <v>622</v>
      </c>
      <c r="D142" s="263">
        <v>110</v>
      </c>
      <c r="E142" s="263">
        <v>110</v>
      </c>
      <c r="F142" s="263">
        <v>110</v>
      </c>
      <c r="G142" s="263">
        <v>110</v>
      </c>
      <c r="H142" s="263">
        <v>110</v>
      </c>
      <c r="I142" s="263">
        <v>110</v>
      </c>
      <c r="J142" s="263">
        <v>110</v>
      </c>
      <c r="K142" s="263">
        <v>110</v>
      </c>
      <c r="L142" s="263">
        <v>110</v>
      </c>
      <c r="M142" s="263">
        <v>110</v>
      </c>
      <c r="N142" s="263">
        <v>110</v>
      </c>
      <c r="O142" s="263">
        <v>110</v>
      </c>
      <c r="P142" s="262">
        <f t="shared" si="60"/>
        <v>330</v>
      </c>
      <c r="Q142" s="262">
        <f t="shared" si="61"/>
        <v>330</v>
      </c>
      <c r="R142" s="262">
        <f t="shared" si="62"/>
        <v>330</v>
      </c>
      <c r="S142" s="262">
        <f t="shared" si="63"/>
        <v>330</v>
      </c>
      <c r="T142" s="261">
        <f>SUM(D142:O142)</f>
        <v>1320</v>
      </c>
      <c r="U142" s="144"/>
    </row>
    <row r="143" spans="1:21" ht="27" customHeight="1" outlineLevel="1">
      <c r="A143" s="143" t="s">
        <v>623</v>
      </c>
      <c r="B143" s="143" t="s">
        <v>624</v>
      </c>
      <c r="C143" s="229" t="s">
        <v>355</v>
      </c>
      <c r="D143" s="263">
        <v>89750</v>
      </c>
      <c r="E143" s="263">
        <v>89750</v>
      </c>
      <c r="F143" s="263">
        <v>89750</v>
      </c>
      <c r="G143" s="263">
        <v>89750</v>
      </c>
      <c r="H143" s="263">
        <v>89750</v>
      </c>
      <c r="I143" s="263">
        <v>89750</v>
      </c>
      <c r="J143" s="263">
        <v>89750</v>
      </c>
      <c r="K143" s="263">
        <v>89750</v>
      </c>
      <c r="L143" s="263">
        <v>89750</v>
      </c>
      <c r="M143" s="263">
        <v>89750</v>
      </c>
      <c r="N143" s="263">
        <v>89750</v>
      </c>
      <c r="O143" s="263">
        <v>89750</v>
      </c>
      <c r="P143" s="262">
        <f t="shared" si="60"/>
        <v>269250</v>
      </c>
      <c r="Q143" s="262">
        <f t="shared" si="61"/>
        <v>269250</v>
      </c>
      <c r="R143" s="262">
        <f t="shared" si="62"/>
        <v>269250</v>
      </c>
      <c r="S143" s="262">
        <f t="shared" si="63"/>
        <v>269250</v>
      </c>
      <c r="T143" s="261">
        <f>SUM(D143:O143)</f>
        <v>1077000</v>
      </c>
      <c r="U143" s="144"/>
    </row>
    <row r="144" spans="1:21" ht="27" customHeight="1" outlineLevel="1">
      <c r="A144" s="143" t="s">
        <v>625</v>
      </c>
      <c r="B144" s="143" t="s">
        <v>626</v>
      </c>
      <c r="C144" s="229" t="s">
        <v>355</v>
      </c>
      <c r="D144" s="263">
        <v>17211.68</v>
      </c>
      <c r="E144" s="263">
        <v>17211.68</v>
      </c>
      <c r="F144" s="263">
        <v>17211.68</v>
      </c>
      <c r="G144" s="263">
        <v>17211.68</v>
      </c>
      <c r="H144" s="263">
        <v>17211.68</v>
      </c>
      <c r="I144" s="263">
        <v>17211.68</v>
      </c>
      <c r="J144" s="263">
        <v>17211.68</v>
      </c>
      <c r="K144" s="263">
        <v>17211.68</v>
      </c>
      <c r="L144" s="263">
        <v>17211.68</v>
      </c>
      <c r="M144" s="263">
        <v>17211.68</v>
      </c>
      <c r="N144" s="263">
        <v>17211.68</v>
      </c>
      <c r="O144" s="263">
        <v>17211.68</v>
      </c>
      <c r="P144" s="262">
        <f t="shared" si="60"/>
        <v>51635.040000000001</v>
      </c>
      <c r="Q144" s="262">
        <f t="shared" si="61"/>
        <v>51635.040000000001</v>
      </c>
      <c r="R144" s="262">
        <f t="shared" si="62"/>
        <v>51635.040000000001</v>
      </c>
      <c r="S144" s="262">
        <f t="shared" si="63"/>
        <v>51635.040000000001</v>
      </c>
      <c r="T144" s="261">
        <f>SUM(D144:O144)</f>
        <v>206540.15999999995</v>
      </c>
      <c r="U144" s="144"/>
    </row>
    <row r="145" spans="1:22" ht="27" customHeight="1" outlineLevel="1">
      <c r="A145" s="143" t="s">
        <v>627</v>
      </c>
      <c r="B145" s="143"/>
      <c r="C145" s="1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2">
        <f t="shared" si="60"/>
        <v>0</v>
      </c>
      <c r="Q145" s="262">
        <f t="shared" si="61"/>
        <v>0</v>
      </c>
      <c r="R145" s="262">
        <f t="shared" si="62"/>
        <v>0</v>
      </c>
      <c r="S145" s="262">
        <f t="shared" si="63"/>
        <v>0</v>
      </c>
      <c r="T145" s="261"/>
      <c r="U145" s="144"/>
    </row>
    <row r="146" spans="1:22" ht="27" customHeight="1" outlineLevel="1">
      <c r="A146" s="143" t="s">
        <v>628</v>
      </c>
      <c r="B146" s="426"/>
      <c r="C146" s="231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2">
        <f t="shared" si="60"/>
        <v>0</v>
      </c>
      <c r="Q146" s="262">
        <f t="shared" si="61"/>
        <v>0</v>
      </c>
      <c r="R146" s="262">
        <f t="shared" si="62"/>
        <v>0</v>
      </c>
      <c r="S146" s="262">
        <f t="shared" si="63"/>
        <v>0</v>
      </c>
      <c r="T146" s="261"/>
    </row>
    <row r="147" spans="1:22" ht="27" customHeight="1" outlineLevel="1">
      <c r="A147" s="143" t="s">
        <v>629</v>
      </c>
      <c r="B147" s="426"/>
      <c r="C147" s="231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2">
        <f t="shared" si="60"/>
        <v>0</v>
      </c>
      <c r="Q147" s="262">
        <f t="shared" si="61"/>
        <v>0</v>
      </c>
      <c r="R147" s="262">
        <f t="shared" si="62"/>
        <v>0</v>
      </c>
      <c r="S147" s="262">
        <f t="shared" si="63"/>
        <v>0</v>
      </c>
      <c r="T147" s="261"/>
    </row>
    <row r="148" spans="1:22" s="139" customFormat="1" ht="27" customHeight="1">
      <c r="A148" s="271" t="s">
        <v>358</v>
      </c>
      <c r="B148" s="272" t="s">
        <v>177</v>
      </c>
      <c r="C148" s="260" t="s">
        <v>358</v>
      </c>
      <c r="D148" s="234">
        <f>SUM(D127:D147)</f>
        <v>653664.84000000008</v>
      </c>
      <c r="E148" s="234">
        <f>SUM(E127:E147)</f>
        <v>803664.84000000008</v>
      </c>
      <c r="F148" s="234">
        <f>SUM(F127:F147)</f>
        <v>718040.03325000009</v>
      </c>
      <c r="G148" s="234">
        <f t="shared" ref="G148:O148" si="66">SUM(G127:G147)</f>
        <v>661735.75425000011</v>
      </c>
      <c r="H148" s="234">
        <f t="shared" si="66"/>
        <v>661735.75425000011</v>
      </c>
      <c r="I148" s="234">
        <f t="shared" si="66"/>
        <v>661735.75425000011</v>
      </c>
      <c r="J148" s="234">
        <f t="shared" si="66"/>
        <v>661735.75425000011</v>
      </c>
      <c r="K148" s="234">
        <f t="shared" si="66"/>
        <v>661735.75425000011</v>
      </c>
      <c r="L148" s="234">
        <f t="shared" si="66"/>
        <v>661735.75425000011</v>
      </c>
      <c r="M148" s="234">
        <f t="shared" si="66"/>
        <v>662346.40875000006</v>
      </c>
      <c r="N148" s="234">
        <f t="shared" si="66"/>
        <v>662346.40875000006</v>
      </c>
      <c r="O148" s="234">
        <f t="shared" si="66"/>
        <v>662346.40875000006</v>
      </c>
      <c r="P148" s="234">
        <f>SUM(D148:F148)</f>
        <v>2175369.71325</v>
      </c>
      <c r="Q148" s="234">
        <f>SUM(G148:I148)</f>
        <v>1985207.2627500002</v>
      </c>
      <c r="R148" s="234">
        <f>SUM(J148:L148)</f>
        <v>1985207.2627500002</v>
      </c>
      <c r="S148" s="234">
        <f>SUM(M148:O148)</f>
        <v>1987039.2262500003</v>
      </c>
      <c r="T148" s="234">
        <f>SUM(T127:T147)</f>
        <v>8132823.4649999999</v>
      </c>
      <c r="U148" s="419">
        <f>T148/$T$315</f>
        <v>3.8252418574378673E-2</v>
      </c>
      <c r="V148" s="227"/>
    </row>
    <row r="149" spans="1:22" s="139" customFormat="1" ht="27" customHeight="1">
      <c r="A149" s="273" t="s">
        <v>630</v>
      </c>
      <c r="B149" s="230" t="s">
        <v>631</v>
      </c>
      <c r="C149" s="230" t="s">
        <v>335</v>
      </c>
      <c r="D149" s="230" t="s">
        <v>632</v>
      </c>
      <c r="E149" s="230" t="s">
        <v>633</v>
      </c>
      <c r="F149" s="230" t="s">
        <v>634</v>
      </c>
      <c r="G149" s="230" t="s">
        <v>635</v>
      </c>
      <c r="H149" s="230" t="s">
        <v>636</v>
      </c>
      <c r="I149" s="230" t="s">
        <v>637</v>
      </c>
      <c r="J149" s="230" t="s">
        <v>638</v>
      </c>
      <c r="K149" s="230" t="s">
        <v>639</v>
      </c>
      <c r="L149" s="230" t="s">
        <v>640</v>
      </c>
      <c r="M149" s="230" t="s">
        <v>641</v>
      </c>
      <c r="N149" s="230" t="s">
        <v>642</v>
      </c>
      <c r="O149" s="230" t="s">
        <v>643</v>
      </c>
      <c r="P149" s="202" t="s">
        <v>348</v>
      </c>
      <c r="Q149" s="202" t="s">
        <v>349</v>
      </c>
      <c r="R149" s="202" t="s">
        <v>350</v>
      </c>
      <c r="S149" s="202" t="s">
        <v>351</v>
      </c>
      <c r="T149" s="230" t="s">
        <v>644</v>
      </c>
      <c r="V149" s="227"/>
    </row>
    <row r="150" spans="1:22" ht="27" customHeight="1" outlineLevel="1">
      <c r="A150" s="274" t="s">
        <v>645</v>
      </c>
      <c r="B150" s="275" t="s">
        <v>156</v>
      </c>
      <c r="C150" s="316" t="s">
        <v>355</v>
      </c>
      <c r="D150" s="306" t="s">
        <v>358</v>
      </c>
      <c r="E150" s="306" t="s">
        <v>358</v>
      </c>
      <c r="F150" s="306" t="s">
        <v>358</v>
      </c>
      <c r="G150" s="306" t="s">
        <v>358</v>
      </c>
      <c r="H150" s="306" t="s">
        <v>358</v>
      </c>
      <c r="I150" s="306" t="s">
        <v>358</v>
      </c>
      <c r="J150" s="306">
        <v>50000</v>
      </c>
      <c r="K150" s="306" t="s">
        <v>358</v>
      </c>
      <c r="L150" s="306" t="s">
        <v>358</v>
      </c>
      <c r="M150" s="306" t="s">
        <v>358</v>
      </c>
      <c r="N150" s="306" t="s">
        <v>358</v>
      </c>
      <c r="O150" s="306" t="s">
        <v>358</v>
      </c>
      <c r="P150" s="262">
        <f t="shared" ref="P150:P171" si="67">SUM(D150:F150)</f>
        <v>0</v>
      </c>
      <c r="Q150" s="262">
        <f>SUM(G150:I150)</f>
        <v>0</v>
      </c>
      <c r="R150" s="262">
        <f>SUM(J150:L150)</f>
        <v>50000</v>
      </c>
      <c r="S150" s="262">
        <f>SUM(M150:O150)</f>
        <v>0</v>
      </c>
      <c r="T150" s="310">
        <f>SUM(D150:O150)</f>
        <v>50000</v>
      </c>
    </row>
    <row r="151" spans="1:22" ht="27" customHeight="1" outlineLevel="1">
      <c r="A151" s="274" t="s">
        <v>646</v>
      </c>
      <c r="B151" s="275" t="s">
        <v>647</v>
      </c>
      <c r="C151" s="305" t="s">
        <v>430</v>
      </c>
      <c r="D151" s="306" t="s">
        <v>358</v>
      </c>
      <c r="E151" s="306" t="s">
        <v>358</v>
      </c>
      <c r="F151" s="306" t="s">
        <v>358</v>
      </c>
      <c r="G151" s="364">
        <v>200</v>
      </c>
      <c r="H151" s="364">
        <v>200</v>
      </c>
      <c r="I151" s="364">
        <v>200</v>
      </c>
      <c r="J151" s="364">
        <v>200</v>
      </c>
      <c r="K151" s="364">
        <v>200</v>
      </c>
      <c r="L151" s="306" t="s">
        <v>358</v>
      </c>
      <c r="M151" s="306" t="s">
        <v>358</v>
      </c>
      <c r="N151" s="306" t="s">
        <v>358</v>
      </c>
      <c r="O151" s="306" t="s">
        <v>358</v>
      </c>
      <c r="P151" s="262">
        <f t="shared" si="67"/>
        <v>0</v>
      </c>
      <c r="Q151" s="262">
        <f t="shared" ref="Q151:Q171" si="68">SUM(G151:I151)</f>
        <v>600</v>
      </c>
      <c r="R151" s="262">
        <f t="shared" ref="R151:R171" si="69">SUM(J151:L151)</f>
        <v>400</v>
      </c>
      <c r="S151" s="262">
        <f t="shared" ref="S151:S171" si="70">SUM(M151:O151)</f>
        <v>0</v>
      </c>
      <c r="T151" s="310">
        <f t="shared" ref="T151:T171" si="71">SUM(D151:O151)</f>
        <v>1000</v>
      </c>
    </row>
    <row r="152" spans="1:22" ht="27" customHeight="1" outlineLevel="1">
      <c r="A152" s="274" t="s">
        <v>648</v>
      </c>
      <c r="B152" s="275" t="s">
        <v>649</v>
      </c>
      <c r="C152" s="305" t="s">
        <v>430</v>
      </c>
      <c r="D152" s="365">
        <v>850</v>
      </c>
      <c r="E152" s="365">
        <v>850</v>
      </c>
      <c r="F152" s="365">
        <v>850</v>
      </c>
      <c r="G152" s="365">
        <v>850</v>
      </c>
      <c r="H152" s="365">
        <v>850</v>
      </c>
      <c r="I152" s="365">
        <v>850</v>
      </c>
      <c r="J152" s="365">
        <v>850</v>
      </c>
      <c r="K152" s="365">
        <v>850</v>
      </c>
      <c r="L152" s="365">
        <v>850</v>
      </c>
      <c r="M152" s="365">
        <v>850</v>
      </c>
      <c r="N152" s="365">
        <v>850</v>
      </c>
      <c r="O152" s="365">
        <v>850</v>
      </c>
      <c r="P152" s="262">
        <f t="shared" si="67"/>
        <v>2550</v>
      </c>
      <c r="Q152" s="262">
        <f t="shared" si="68"/>
        <v>2550</v>
      </c>
      <c r="R152" s="262">
        <f t="shared" si="69"/>
        <v>2550</v>
      </c>
      <c r="S152" s="262">
        <f t="shared" si="70"/>
        <v>2550</v>
      </c>
      <c r="T152" s="310">
        <f t="shared" si="71"/>
        <v>10200</v>
      </c>
    </row>
    <row r="153" spans="1:22" ht="27" customHeight="1" outlineLevel="1">
      <c r="A153" s="274" t="s">
        <v>650</v>
      </c>
      <c r="B153" s="275" t="s">
        <v>651</v>
      </c>
      <c r="C153" s="305" t="s">
        <v>430</v>
      </c>
      <c r="D153" s="306" t="s">
        <v>358</v>
      </c>
      <c r="E153" s="306" t="s">
        <v>358</v>
      </c>
      <c r="F153" s="306" t="s">
        <v>358</v>
      </c>
      <c r="G153" s="364">
        <v>200</v>
      </c>
      <c r="H153" s="306" t="s">
        <v>358</v>
      </c>
      <c r="I153" s="306" t="s">
        <v>358</v>
      </c>
      <c r="J153" s="306" t="s">
        <v>358</v>
      </c>
      <c r="K153" s="306" t="s">
        <v>358</v>
      </c>
      <c r="L153" s="306" t="s">
        <v>358</v>
      </c>
      <c r="M153" s="364">
        <v>200</v>
      </c>
      <c r="N153" s="306" t="s">
        <v>358</v>
      </c>
      <c r="O153" s="306" t="s">
        <v>358</v>
      </c>
      <c r="P153" s="262">
        <f t="shared" si="67"/>
        <v>0</v>
      </c>
      <c r="Q153" s="262">
        <f t="shared" si="68"/>
        <v>200</v>
      </c>
      <c r="R153" s="262">
        <f t="shared" si="69"/>
        <v>0</v>
      </c>
      <c r="S153" s="262">
        <f t="shared" si="70"/>
        <v>200</v>
      </c>
      <c r="T153" s="310">
        <f t="shared" si="71"/>
        <v>400</v>
      </c>
    </row>
    <row r="154" spans="1:22" ht="27" customHeight="1" outlineLevel="1">
      <c r="A154" s="274" t="s">
        <v>652</v>
      </c>
      <c r="B154" s="275" t="s">
        <v>163</v>
      </c>
      <c r="C154" s="305" t="s">
        <v>430</v>
      </c>
      <c r="D154" s="306" t="s">
        <v>358</v>
      </c>
      <c r="E154" s="306" t="s">
        <v>358</v>
      </c>
      <c r="F154" s="306" t="s">
        <v>358</v>
      </c>
      <c r="G154" s="306" t="s">
        <v>358</v>
      </c>
      <c r="H154" s="364">
        <v>3500</v>
      </c>
      <c r="I154" s="306" t="s">
        <v>358</v>
      </c>
      <c r="J154" s="306" t="s">
        <v>358</v>
      </c>
      <c r="K154" s="306" t="s">
        <v>358</v>
      </c>
      <c r="L154" s="306" t="s">
        <v>358</v>
      </c>
      <c r="M154" s="306" t="s">
        <v>358</v>
      </c>
      <c r="N154" s="306" t="s">
        <v>358</v>
      </c>
      <c r="O154" s="306" t="s">
        <v>358</v>
      </c>
      <c r="P154" s="262">
        <f t="shared" si="67"/>
        <v>0</v>
      </c>
      <c r="Q154" s="262">
        <f t="shared" si="68"/>
        <v>3500</v>
      </c>
      <c r="R154" s="262">
        <f t="shared" si="69"/>
        <v>0</v>
      </c>
      <c r="S154" s="262">
        <f t="shared" si="70"/>
        <v>0</v>
      </c>
      <c r="T154" s="310">
        <f t="shared" si="71"/>
        <v>3500</v>
      </c>
    </row>
    <row r="155" spans="1:22" ht="27" customHeight="1" outlineLevel="1">
      <c r="A155" s="274" t="s">
        <v>653</v>
      </c>
      <c r="B155" s="275" t="s">
        <v>164</v>
      </c>
      <c r="C155" s="305" t="s">
        <v>430</v>
      </c>
      <c r="D155" s="306" t="s">
        <v>358</v>
      </c>
      <c r="E155" s="306" t="s">
        <v>358</v>
      </c>
      <c r="F155" s="306" t="s">
        <v>358</v>
      </c>
      <c r="G155" s="306" t="s">
        <v>358</v>
      </c>
      <c r="H155" s="306" t="s">
        <v>358</v>
      </c>
      <c r="I155" s="306" t="s">
        <v>358</v>
      </c>
      <c r="J155" s="306" t="s">
        <v>358</v>
      </c>
      <c r="K155" s="364">
        <v>7000</v>
      </c>
      <c r="L155" s="306" t="s">
        <v>358</v>
      </c>
      <c r="M155" s="306" t="s">
        <v>358</v>
      </c>
      <c r="N155" s="306" t="s">
        <v>358</v>
      </c>
      <c r="O155" s="306" t="s">
        <v>358</v>
      </c>
      <c r="P155" s="262">
        <f t="shared" si="67"/>
        <v>0</v>
      </c>
      <c r="Q155" s="262">
        <f t="shared" si="68"/>
        <v>0</v>
      </c>
      <c r="R155" s="262">
        <f t="shared" si="69"/>
        <v>7000</v>
      </c>
      <c r="S155" s="262">
        <f t="shared" si="70"/>
        <v>0</v>
      </c>
      <c r="T155" s="310">
        <f t="shared" si="71"/>
        <v>7000</v>
      </c>
    </row>
    <row r="156" spans="1:22" ht="27" customHeight="1" outlineLevel="1">
      <c r="A156" s="274" t="s">
        <v>654</v>
      </c>
      <c r="B156" s="275" t="s">
        <v>655</v>
      </c>
      <c r="C156" s="305" t="s">
        <v>430</v>
      </c>
      <c r="D156" s="365">
        <v>5000</v>
      </c>
      <c r="E156" s="306"/>
      <c r="F156" s="306"/>
      <c r="G156" s="365">
        <v>3000</v>
      </c>
      <c r="H156" s="306" t="s">
        <v>358</v>
      </c>
      <c r="I156" s="365">
        <v>5000</v>
      </c>
      <c r="J156" s="306" t="s">
        <v>358</v>
      </c>
      <c r="K156" s="306" t="s">
        <v>358</v>
      </c>
      <c r="L156" s="306"/>
      <c r="M156" s="306" t="s">
        <v>358</v>
      </c>
      <c r="N156" s="306" t="s">
        <v>358</v>
      </c>
      <c r="O156" s="306" t="s">
        <v>358</v>
      </c>
      <c r="P156" s="262">
        <f t="shared" si="67"/>
        <v>5000</v>
      </c>
      <c r="Q156" s="262">
        <f t="shared" si="68"/>
        <v>8000</v>
      </c>
      <c r="R156" s="262">
        <f t="shared" si="69"/>
        <v>0</v>
      </c>
      <c r="S156" s="262">
        <f t="shared" si="70"/>
        <v>0</v>
      </c>
      <c r="T156" s="310">
        <f t="shared" si="71"/>
        <v>13000</v>
      </c>
    </row>
    <row r="157" spans="1:22" ht="27" customHeight="1" outlineLevel="1">
      <c r="A157" s="274" t="s">
        <v>656</v>
      </c>
      <c r="B157" s="275" t="s">
        <v>657</v>
      </c>
      <c r="C157" s="305" t="s">
        <v>430</v>
      </c>
      <c r="D157" s="365">
        <v>150</v>
      </c>
      <c r="E157" s="365">
        <v>150</v>
      </c>
      <c r="F157" s="365">
        <v>150</v>
      </c>
      <c r="G157" s="365">
        <v>150</v>
      </c>
      <c r="H157" s="365">
        <v>150</v>
      </c>
      <c r="I157" s="365">
        <v>150</v>
      </c>
      <c r="J157" s="365">
        <v>150</v>
      </c>
      <c r="K157" s="365">
        <v>150</v>
      </c>
      <c r="L157" s="365">
        <v>150</v>
      </c>
      <c r="M157" s="365">
        <v>150</v>
      </c>
      <c r="N157" s="365">
        <v>150</v>
      </c>
      <c r="O157" s="365">
        <v>150</v>
      </c>
      <c r="P157" s="262">
        <f t="shared" si="67"/>
        <v>450</v>
      </c>
      <c r="Q157" s="262">
        <f t="shared" si="68"/>
        <v>450</v>
      </c>
      <c r="R157" s="262">
        <f t="shared" si="69"/>
        <v>450</v>
      </c>
      <c r="S157" s="262">
        <f t="shared" si="70"/>
        <v>450</v>
      </c>
      <c r="T157" s="310">
        <f t="shared" si="71"/>
        <v>1800</v>
      </c>
    </row>
    <row r="158" spans="1:22" ht="27" customHeight="1" outlineLevel="1">
      <c r="A158" s="274" t="s">
        <v>658</v>
      </c>
      <c r="B158" s="275" t="s">
        <v>659</v>
      </c>
      <c r="C158" s="305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262">
        <f t="shared" si="67"/>
        <v>0</v>
      </c>
      <c r="Q158" s="262">
        <f t="shared" si="68"/>
        <v>0</v>
      </c>
      <c r="R158" s="262">
        <f t="shared" si="69"/>
        <v>0</v>
      </c>
      <c r="S158" s="262">
        <f t="shared" si="70"/>
        <v>0</v>
      </c>
      <c r="T158" s="310">
        <f t="shared" si="71"/>
        <v>0</v>
      </c>
    </row>
    <row r="159" spans="1:22" ht="27" customHeight="1" outlineLevel="1">
      <c r="A159" s="274" t="s">
        <v>660</v>
      </c>
      <c r="B159" s="275" t="s">
        <v>169</v>
      </c>
      <c r="C159" s="305" t="s">
        <v>430</v>
      </c>
      <c r="D159" s="306" t="s">
        <v>358</v>
      </c>
      <c r="E159" s="306" t="s">
        <v>358</v>
      </c>
      <c r="F159" s="306" t="s">
        <v>358</v>
      </c>
      <c r="G159" s="306" t="s">
        <v>358</v>
      </c>
      <c r="H159" s="306" t="s">
        <v>358</v>
      </c>
      <c r="I159" s="306" t="s">
        <v>358</v>
      </c>
      <c r="J159" s="306" t="s">
        <v>358</v>
      </c>
      <c r="K159" s="306" t="s">
        <v>358</v>
      </c>
      <c r="L159" s="365" t="s">
        <v>358</v>
      </c>
      <c r="M159" s="365" t="s">
        <v>358</v>
      </c>
      <c r="N159" s="365">
        <v>3000</v>
      </c>
      <c r="O159" s="306" t="s">
        <v>358</v>
      </c>
      <c r="P159" s="262">
        <f t="shared" si="67"/>
        <v>0</v>
      </c>
      <c r="Q159" s="262">
        <f t="shared" si="68"/>
        <v>0</v>
      </c>
      <c r="R159" s="262">
        <f t="shared" si="69"/>
        <v>0</v>
      </c>
      <c r="S159" s="262">
        <f t="shared" si="70"/>
        <v>3000</v>
      </c>
      <c r="T159" s="310">
        <f t="shared" si="71"/>
        <v>3000</v>
      </c>
    </row>
    <row r="160" spans="1:22" ht="27" customHeight="1" outlineLevel="1">
      <c r="A160" s="274" t="s">
        <v>661</v>
      </c>
      <c r="B160" s="275" t="s">
        <v>171</v>
      </c>
      <c r="C160" s="305" t="s">
        <v>430</v>
      </c>
      <c r="D160" s="306" t="s">
        <v>358</v>
      </c>
      <c r="E160" s="306" t="s">
        <v>358</v>
      </c>
      <c r="F160" s="306" t="s">
        <v>358</v>
      </c>
      <c r="G160" s="306" t="s">
        <v>358</v>
      </c>
      <c r="H160" s="306" t="s">
        <v>358</v>
      </c>
      <c r="I160" s="306" t="s">
        <v>358</v>
      </c>
      <c r="J160" s="306" t="s">
        <v>358</v>
      </c>
      <c r="K160" s="306" t="s">
        <v>358</v>
      </c>
      <c r="L160" s="365" t="s">
        <v>358</v>
      </c>
      <c r="M160" s="365">
        <v>3000</v>
      </c>
      <c r="N160" s="365" t="s">
        <v>358</v>
      </c>
      <c r="O160" s="306" t="s">
        <v>358</v>
      </c>
      <c r="P160" s="262">
        <f t="shared" si="67"/>
        <v>0</v>
      </c>
      <c r="Q160" s="262">
        <f t="shared" si="68"/>
        <v>0</v>
      </c>
      <c r="R160" s="262">
        <f t="shared" si="69"/>
        <v>0</v>
      </c>
      <c r="S160" s="262">
        <f t="shared" si="70"/>
        <v>3000</v>
      </c>
      <c r="T160" s="310">
        <f t="shared" si="71"/>
        <v>3000</v>
      </c>
    </row>
    <row r="161" spans="1:22" ht="27" customHeight="1" outlineLevel="1">
      <c r="A161" s="274" t="s">
        <v>662</v>
      </c>
      <c r="B161" s="275" t="s">
        <v>663</v>
      </c>
      <c r="C161" s="305" t="s">
        <v>430</v>
      </c>
      <c r="D161" s="306"/>
      <c r="E161" s="306"/>
      <c r="F161" s="306"/>
      <c r="G161" s="306"/>
      <c r="H161" s="306"/>
      <c r="I161" s="306"/>
      <c r="J161" s="306"/>
      <c r="K161" s="306"/>
      <c r="L161" s="365">
        <v>3000</v>
      </c>
      <c r="M161" s="365"/>
      <c r="N161" s="365"/>
      <c r="O161" s="306"/>
      <c r="P161" s="262">
        <f t="shared" si="67"/>
        <v>0</v>
      </c>
      <c r="Q161" s="262">
        <f t="shared" si="68"/>
        <v>0</v>
      </c>
      <c r="R161" s="262">
        <f t="shared" si="69"/>
        <v>3000</v>
      </c>
      <c r="S161" s="262">
        <f t="shared" si="70"/>
        <v>0</v>
      </c>
      <c r="T161" s="310">
        <f t="shared" si="71"/>
        <v>3000</v>
      </c>
    </row>
    <row r="162" spans="1:22" ht="27" customHeight="1" outlineLevel="1">
      <c r="A162" s="274" t="s">
        <v>664</v>
      </c>
      <c r="B162" s="275" t="s">
        <v>665</v>
      </c>
      <c r="C162" s="305" t="s">
        <v>430</v>
      </c>
      <c r="D162" s="306">
        <v>0</v>
      </c>
      <c r="E162" s="365">
        <v>5000</v>
      </c>
      <c r="F162" s="365">
        <v>5000</v>
      </c>
      <c r="G162" s="365">
        <v>5000</v>
      </c>
      <c r="H162" s="365">
        <v>5000</v>
      </c>
      <c r="I162" s="365">
        <v>5000</v>
      </c>
      <c r="J162" s="365">
        <v>5000</v>
      </c>
      <c r="K162" s="365">
        <v>5000</v>
      </c>
      <c r="L162" s="365">
        <v>5000</v>
      </c>
      <c r="M162" s="365">
        <v>5000</v>
      </c>
      <c r="N162" s="365">
        <v>5000</v>
      </c>
      <c r="O162" s="365">
        <v>5000</v>
      </c>
      <c r="P162" s="262">
        <f t="shared" si="67"/>
        <v>10000</v>
      </c>
      <c r="Q162" s="262">
        <f t="shared" si="68"/>
        <v>15000</v>
      </c>
      <c r="R162" s="262">
        <f t="shared" si="69"/>
        <v>15000</v>
      </c>
      <c r="S162" s="262">
        <f t="shared" si="70"/>
        <v>15000</v>
      </c>
      <c r="T162" s="310">
        <f t="shared" si="71"/>
        <v>55000</v>
      </c>
    </row>
    <row r="163" spans="1:22" ht="27" customHeight="1" outlineLevel="1">
      <c r="A163" s="274" t="s">
        <v>666</v>
      </c>
      <c r="B163" s="275"/>
      <c r="C163" s="229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  <c r="P163" s="262">
        <f t="shared" si="67"/>
        <v>0</v>
      </c>
      <c r="Q163" s="262">
        <f t="shared" si="68"/>
        <v>0</v>
      </c>
      <c r="R163" s="262">
        <f t="shared" si="69"/>
        <v>0</v>
      </c>
      <c r="S163" s="262">
        <f t="shared" si="70"/>
        <v>0</v>
      </c>
      <c r="T163" s="310">
        <f t="shared" si="71"/>
        <v>0</v>
      </c>
      <c r="U163" s="144"/>
    </row>
    <row r="164" spans="1:22" ht="27" customHeight="1" outlineLevel="1">
      <c r="A164" s="274" t="s">
        <v>667</v>
      </c>
      <c r="B164" s="275" t="s">
        <v>668</v>
      </c>
      <c r="C164" s="229" t="s">
        <v>430</v>
      </c>
      <c r="D164" s="264"/>
      <c r="E164" s="264">
        <v>1000</v>
      </c>
      <c r="F164" s="264"/>
      <c r="G164" s="264">
        <v>1000</v>
      </c>
      <c r="H164" s="264"/>
      <c r="I164" s="264">
        <v>1000</v>
      </c>
      <c r="J164" s="264"/>
      <c r="K164" s="264">
        <v>1000</v>
      </c>
      <c r="L164" s="264"/>
      <c r="M164" s="264">
        <v>1000</v>
      </c>
      <c r="N164" s="264"/>
      <c r="O164" s="264"/>
      <c r="P164" s="262">
        <f t="shared" si="67"/>
        <v>1000</v>
      </c>
      <c r="Q164" s="262">
        <f t="shared" si="68"/>
        <v>2000</v>
      </c>
      <c r="R164" s="262">
        <f t="shared" si="69"/>
        <v>1000</v>
      </c>
      <c r="S164" s="262">
        <f t="shared" si="70"/>
        <v>1000</v>
      </c>
      <c r="T164" s="310">
        <f t="shared" si="71"/>
        <v>5000</v>
      </c>
      <c r="U164" s="144"/>
    </row>
    <row r="165" spans="1:22" ht="27" customHeight="1" outlineLevel="1">
      <c r="A165" s="274" t="s">
        <v>669</v>
      </c>
      <c r="B165" s="275" t="s">
        <v>670</v>
      </c>
      <c r="C165" s="229" t="s">
        <v>430</v>
      </c>
      <c r="D165" s="264"/>
      <c r="E165" s="264"/>
      <c r="F165" s="264"/>
      <c r="G165" s="264"/>
      <c r="H165" s="264"/>
      <c r="I165" s="264"/>
      <c r="J165" s="264">
        <v>5000</v>
      </c>
      <c r="K165" s="264" t="s">
        <v>358</v>
      </c>
      <c r="L165" s="264" t="s">
        <v>358</v>
      </c>
      <c r="M165" s="264" t="s">
        <v>358</v>
      </c>
      <c r="N165" s="264" t="s">
        <v>358</v>
      </c>
      <c r="O165" s="264" t="s">
        <v>358</v>
      </c>
      <c r="P165" s="262">
        <f t="shared" si="67"/>
        <v>0</v>
      </c>
      <c r="Q165" s="262">
        <f t="shared" si="68"/>
        <v>0</v>
      </c>
      <c r="R165" s="262">
        <f t="shared" si="69"/>
        <v>5000</v>
      </c>
      <c r="S165" s="262">
        <f t="shared" si="70"/>
        <v>0</v>
      </c>
      <c r="T165" s="310">
        <f t="shared" si="71"/>
        <v>5000</v>
      </c>
      <c r="U165" s="144"/>
    </row>
    <row r="166" spans="1:22" s="276" customFormat="1" ht="27" customHeight="1" outlineLevel="1">
      <c r="A166" s="337" t="s">
        <v>671</v>
      </c>
      <c r="B166" s="275" t="s">
        <v>672</v>
      </c>
      <c r="C166" s="229" t="s">
        <v>673</v>
      </c>
      <c r="D166" s="264" t="s">
        <v>358</v>
      </c>
      <c r="E166" s="264" t="s">
        <v>358</v>
      </c>
      <c r="F166" s="264" t="s">
        <v>358</v>
      </c>
      <c r="G166" s="264" t="s">
        <v>358</v>
      </c>
      <c r="H166" s="264" t="s">
        <v>358</v>
      </c>
      <c r="I166" s="264" t="s">
        <v>358</v>
      </c>
      <c r="J166" s="264">
        <v>15000</v>
      </c>
      <c r="K166" s="264" t="s">
        <v>358</v>
      </c>
      <c r="L166" s="264" t="s">
        <v>358</v>
      </c>
      <c r="M166" s="264" t="s">
        <v>358</v>
      </c>
      <c r="N166" s="264" t="s">
        <v>358</v>
      </c>
      <c r="O166" s="264" t="s">
        <v>358</v>
      </c>
      <c r="P166" s="262">
        <f t="shared" si="67"/>
        <v>0</v>
      </c>
      <c r="Q166" s="262">
        <f t="shared" si="68"/>
        <v>0</v>
      </c>
      <c r="R166" s="262">
        <f t="shared" si="69"/>
        <v>15000</v>
      </c>
      <c r="S166" s="262">
        <f t="shared" si="70"/>
        <v>0</v>
      </c>
      <c r="T166" s="310">
        <f t="shared" si="71"/>
        <v>15000</v>
      </c>
      <c r="U166" s="144"/>
      <c r="V166" s="336"/>
    </row>
    <row r="167" spans="1:22" ht="27" customHeight="1" outlineLevel="1">
      <c r="A167" s="274" t="s">
        <v>674</v>
      </c>
      <c r="B167" s="275" t="s">
        <v>675</v>
      </c>
      <c r="C167" s="229" t="s">
        <v>622</v>
      </c>
      <c r="D167" s="386">
        <v>3000</v>
      </c>
      <c r="E167" s="387">
        <v>5000</v>
      </c>
      <c r="F167" s="387">
        <v>5000</v>
      </c>
      <c r="G167" s="387">
        <v>5000</v>
      </c>
      <c r="H167" s="387">
        <v>5000</v>
      </c>
      <c r="I167" s="387">
        <v>5000</v>
      </c>
      <c r="J167" s="387">
        <v>5000</v>
      </c>
      <c r="K167" s="387">
        <v>4000</v>
      </c>
      <c r="L167" s="387">
        <v>2000</v>
      </c>
      <c r="M167" s="387">
        <v>7000</v>
      </c>
      <c r="N167" s="387">
        <v>2000</v>
      </c>
      <c r="O167" s="388">
        <v>2000</v>
      </c>
      <c r="P167" s="262">
        <f t="shared" si="67"/>
        <v>13000</v>
      </c>
      <c r="Q167" s="262">
        <f t="shared" si="68"/>
        <v>15000</v>
      </c>
      <c r="R167" s="262">
        <f t="shared" si="69"/>
        <v>11000</v>
      </c>
      <c r="S167" s="262">
        <f t="shared" si="70"/>
        <v>11000</v>
      </c>
      <c r="T167" s="310">
        <f t="shared" si="71"/>
        <v>50000</v>
      </c>
      <c r="U167" s="144"/>
    </row>
    <row r="168" spans="1:22" ht="27" customHeight="1" outlineLevel="1">
      <c r="A168" s="274" t="s">
        <v>676</v>
      </c>
      <c r="B168" s="275" t="s">
        <v>677</v>
      </c>
      <c r="C168" s="394" t="s">
        <v>622</v>
      </c>
      <c r="D168" s="389"/>
      <c r="E168" s="390">
        <v>15000</v>
      </c>
      <c r="F168" s="389"/>
      <c r="G168" s="389"/>
      <c r="H168" s="389"/>
      <c r="I168" s="390">
        <v>15000</v>
      </c>
      <c r="J168" s="389"/>
      <c r="K168" s="389"/>
      <c r="L168" s="389"/>
      <c r="M168" s="390">
        <v>20000</v>
      </c>
      <c r="N168" s="389"/>
      <c r="O168" s="373" t="s">
        <v>358</v>
      </c>
      <c r="P168" s="262">
        <f t="shared" si="67"/>
        <v>15000</v>
      </c>
      <c r="Q168" s="262">
        <f t="shared" si="68"/>
        <v>15000</v>
      </c>
      <c r="R168" s="262">
        <f t="shared" si="69"/>
        <v>0</v>
      </c>
      <c r="S168" s="262">
        <f t="shared" si="70"/>
        <v>20000</v>
      </c>
      <c r="T168" s="310">
        <f t="shared" si="71"/>
        <v>50000</v>
      </c>
      <c r="U168" s="144"/>
    </row>
    <row r="169" spans="1:22" ht="41.25" customHeight="1" outlineLevel="1">
      <c r="A169" s="274" t="s">
        <v>678</v>
      </c>
      <c r="B169" s="395" t="s">
        <v>679</v>
      </c>
      <c r="C169" s="394" t="s">
        <v>622</v>
      </c>
      <c r="D169" s="264">
        <v>2000</v>
      </c>
      <c r="E169" s="264">
        <v>2000</v>
      </c>
      <c r="F169" s="264">
        <v>2000</v>
      </c>
      <c r="G169" s="264">
        <v>2000</v>
      </c>
      <c r="H169" s="264">
        <v>2000</v>
      </c>
      <c r="I169" s="264">
        <v>2000</v>
      </c>
      <c r="J169" s="264">
        <v>2000</v>
      </c>
      <c r="K169" s="264">
        <v>2000</v>
      </c>
      <c r="L169" s="264">
        <v>2000</v>
      </c>
      <c r="M169" s="264">
        <v>2000</v>
      </c>
      <c r="N169" s="264">
        <v>2000</v>
      </c>
      <c r="O169" s="264">
        <v>2000</v>
      </c>
      <c r="P169" s="262">
        <f t="shared" si="67"/>
        <v>6000</v>
      </c>
      <c r="Q169" s="262">
        <f t="shared" si="68"/>
        <v>6000</v>
      </c>
      <c r="R169" s="262">
        <f t="shared" si="69"/>
        <v>6000</v>
      </c>
      <c r="S169" s="262">
        <f t="shared" si="70"/>
        <v>6000</v>
      </c>
      <c r="T169" s="310">
        <f t="shared" si="71"/>
        <v>24000</v>
      </c>
      <c r="U169" s="144"/>
    </row>
    <row r="170" spans="1:22" ht="41.25" customHeight="1" outlineLevel="1">
      <c r="A170" s="359" t="s">
        <v>680</v>
      </c>
      <c r="B170" s="396"/>
      <c r="C170" s="394"/>
      <c r="D170" s="391"/>
      <c r="E170" s="392"/>
      <c r="F170" s="392"/>
      <c r="G170" s="392"/>
      <c r="H170" s="392"/>
      <c r="I170" s="392"/>
      <c r="J170" s="392"/>
      <c r="K170" s="392"/>
      <c r="L170" s="392"/>
      <c r="M170" s="392"/>
      <c r="N170" s="392"/>
      <c r="O170" s="264"/>
      <c r="P170" s="262">
        <f t="shared" si="67"/>
        <v>0</v>
      </c>
      <c r="Q170" s="262">
        <f t="shared" si="68"/>
        <v>0</v>
      </c>
      <c r="R170" s="262">
        <f t="shared" si="69"/>
        <v>0</v>
      </c>
      <c r="S170" s="262">
        <f t="shared" si="70"/>
        <v>0</v>
      </c>
      <c r="T170" s="310">
        <f t="shared" si="71"/>
        <v>0</v>
      </c>
      <c r="U170" s="144"/>
    </row>
    <row r="171" spans="1:22" s="276" customFormat="1" ht="27" customHeight="1" outlineLevel="1">
      <c r="A171" s="337" t="s">
        <v>681</v>
      </c>
      <c r="B171" s="393" t="s">
        <v>682</v>
      </c>
      <c r="C171" s="228" t="s">
        <v>673</v>
      </c>
      <c r="D171" s="391">
        <v>3000</v>
      </c>
      <c r="E171" s="392">
        <v>3000</v>
      </c>
      <c r="F171" s="392">
        <v>3000</v>
      </c>
      <c r="G171" s="392">
        <v>3000</v>
      </c>
      <c r="H171" s="392">
        <v>3000</v>
      </c>
      <c r="I171" s="392">
        <v>3000</v>
      </c>
      <c r="J171" s="392">
        <v>3000</v>
      </c>
      <c r="K171" s="392">
        <v>3000</v>
      </c>
      <c r="L171" s="392">
        <v>3000</v>
      </c>
      <c r="M171" s="392">
        <v>1500</v>
      </c>
      <c r="N171" s="392">
        <v>1500</v>
      </c>
      <c r="O171" s="264"/>
      <c r="P171" s="262">
        <f t="shared" si="67"/>
        <v>9000</v>
      </c>
      <c r="Q171" s="262">
        <f t="shared" si="68"/>
        <v>9000</v>
      </c>
      <c r="R171" s="262">
        <f t="shared" si="69"/>
        <v>9000</v>
      </c>
      <c r="S171" s="262">
        <f t="shared" si="70"/>
        <v>3000</v>
      </c>
      <c r="T171" s="310">
        <f t="shared" si="71"/>
        <v>30000</v>
      </c>
      <c r="U171" s="144"/>
      <c r="V171" s="336"/>
    </row>
    <row r="172" spans="1:22" s="139" customFormat="1" ht="27" customHeight="1">
      <c r="A172" s="160"/>
      <c r="B172" s="338" t="s">
        <v>179</v>
      </c>
      <c r="C172" s="162"/>
      <c r="D172" s="234">
        <f>SUM(D150:D171)</f>
        <v>14000</v>
      </c>
      <c r="E172" s="234">
        <f t="shared" ref="E172:O172" si="72">SUM(E150:E171)</f>
        <v>32000</v>
      </c>
      <c r="F172" s="234">
        <f>SUM(F150:F171)</f>
        <v>16000</v>
      </c>
      <c r="G172" s="234">
        <f t="shared" si="72"/>
        <v>20400</v>
      </c>
      <c r="H172" s="234">
        <f t="shared" si="72"/>
        <v>19700</v>
      </c>
      <c r="I172" s="234">
        <f t="shared" si="72"/>
        <v>37200</v>
      </c>
      <c r="J172" s="234">
        <f t="shared" si="72"/>
        <v>86200</v>
      </c>
      <c r="K172" s="234">
        <f t="shared" si="72"/>
        <v>23200</v>
      </c>
      <c r="L172" s="234">
        <f t="shared" si="72"/>
        <v>16000</v>
      </c>
      <c r="M172" s="234">
        <f t="shared" si="72"/>
        <v>40700</v>
      </c>
      <c r="N172" s="234">
        <f t="shared" si="72"/>
        <v>14500</v>
      </c>
      <c r="O172" s="234">
        <f t="shared" si="72"/>
        <v>10000</v>
      </c>
      <c r="P172" s="234">
        <f>SUM(D172:F172)</f>
        <v>62000</v>
      </c>
      <c r="Q172" s="234">
        <f>SUM(G172:I172)</f>
        <v>77300</v>
      </c>
      <c r="R172" s="234">
        <f>SUM(J172:L172)</f>
        <v>125400</v>
      </c>
      <c r="S172" s="234">
        <f>SUM(M172:O172)</f>
        <v>65200</v>
      </c>
      <c r="T172" s="234">
        <f>SUM(T150:T171)</f>
        <v>329900</v>
      </c>
      <c r="U172" s="419">
        <f>T172/$T$315</f>
        <v>1.5516718077056557E-3</v>
      </c>
      <c r="V172" s="227"/>
    </row>
    <row r="173" spans="1:22" s="139" customFormat="1" ht="27" customHeight="1">
      <c r="A173" s="158" t="s">
        <v>683</v>
      </c>
      <c r="B173" s="159" t="s">
        <v>684</v>
      </c>
      <c r="C173" s="159" t="s">
        <v>335</v>
      </c>
      <c r="D173" s="202" t="s">
        <v>336</v>
      </c>
      <c r="E173" s="202" t="s">
        <v>337</v>
      </c>
      <c r="F173" s="202" t="s">
        <v>338</v>
      </c>
      <c r="G173" s="202" t="s">
        <v>339</v>
      </c>
      <c r="H173" s="202" t="s">
        <v>340</v>
      </c>
      <c r="I173" s="202" t="s">
        <v>341</v>
      </c>
      <c r="J173" s="202" t="s">
        <v>342</v>
      </c>
      <c r="K173" s="202" t="s">
        <v>343</v>
      </c>
      <c r="L173" s="202" t="s">
        <v>344</v>
      </c>
      <c r="M173" s="202" t="s">
        <v>345</v>
      </c>
      <c r="N173" s="202" t="s">
        <v>346</v>
      </c>
      <c r="O173" s="202" t="s">
        <v>347</v>
      </c>
      <c r="P173" s="202" t="s">
        <v>348</v>
      </c>
      <c r="Q173" s="202" t="s">
        <v>349</v>
      </c>
      <c r="R173" s="202" t="s">
        <v>350</v>
      </c>
      <c r="S173" s="202" t="s">
        <v>351</v>
      </c>
      <c r="T173" s="202" t="s">
        <v>352</v>
      </c>
      <c r="V173" s="227"/>
    </row>
    <row r="174" spans="1:22" s="276" customFormat="1" ht="27" hidden="1" customHeight="1" outlineLevel="1">
      <c r="A174" s="335" t="s">
        <v>685</v>
      </c>
      <c r="B174" s="143" t="s">
        <v>686</v>
      </c>
      <c r="C174" s="163" t="s">
        <v>673</v>
      </c>
      <c r="D174" s="385"/>
      <c r="E174" s="385"/>
      <c r="F174" s="385">
        <v>4766.96</v>
      </c>
      <c r="G174" s="385"/>
      <c r="H174" s="385"/>
      <c r="I174" s="385"/>
      <c r="J174" s="385"/>
      <c r="K174" s="385"/>
      <c r="L174" s="385"/>
      <c r="M174" s="385"/>
      <c r="N174" s="385"/>
      <c r="O174" s="385"/>
      <c r="P174" s="262">
        <f t="shared" ref="P174:P183" si="73">SUM(D174:F174)</f>
        <v>4766.96</v>
      </c>
      <c r="Q174" s="262">
        <f>SUM(G174:I174)</f>
        <v>0</v>
      </c>
      <c r="R174" s="262">
        <f>SUM(J174:L174)</f>
        <v>0</v>
      </c>
      <c r="S174" s="262">
        <f>SUM(M174:O174)</f>
        <v>0</v>
      </c>
      <c r="T174" s="385">
        <f>SUM(D174:O174)</f>
        <v>4766.96</v>
      </c>
      <c r="U174" s="144"/>
      <c r="V174" s="336"/>
    </row>
    <row r="175" spans="1:22" s="276" customFormat="1" ht="27" hidden="1" customHeight="1" outlineLevel="1">
      <c r="A175" s="335" t="s">
        <v>687</v>
      </c>
      <c r="B175" s="145" t="s">
        <v>688</v>
      </c>
      <c r="C175" s="163" t="s">
        <v>673</v>
      </c>
      <c r="D175" s="385"/>
      <c r="E175" s="385"/>
      <c r="F175" s="397">
        <v>15000</v>
      </c>
      <c r="G175" s="385"/>
      <c r="H175" s="385"/>
      <c r="I175" s="385"/>
      <c r="J175" s="385"/>
      <c r="K175" s="385"/>
      <c r="L175" s="385"/>
      <c r="M175" s="385"/>
      <c r="N175" s="385"/>
      <c r="O175" s="385"/>
      <c r="P175" s="262">
        <f t="shared" si="73"/>
        <v>15000</v>
      </c>
      <c r="Q175" s="262">
        <f t="shared" ref="Q175:Q183" si="74">SUM(G175:I175)</f>
        <v>0</v>
      </c>
      <c r="R175" s="262">
        <f t="shared" ref="R175:R183" si="75">SUM(J175:L175)</f>
        <v>0</v>
      </c>
      <c r="S175" s="262">
        <f t="shared" ref="S175:S183" si="76">SUM(M175:O175)</f>
        <v>0</v>
      </c>
      <c r="T175" s="385">
        <f t="shared" ref="T175:T183" si="77">SUM(D175:O175)</f>
        <v>15000</v>
      </c>
      <c r="U175" s="144"/>
      <c r="V175" s="336"/>
    </row>
    <row r="176" spans="1:22" s="276" customFormat="1" ht="27" hidden="1" customHeight="1" outlineLevel="1">
      <c r="A176" s="335" t="s">
        <v>689</v>
      </c>
      <c r="B176" s="145" t="s">
        <v>690</v>
      </c>
      <c r="C176" s="163" t="s">
        <v>673</v>
      </c>
      <c r="D176" s="385"/>
      <c r="E176" s="385"/>
      <c r="F176" s="385"/>
      <c r="G176" s="385"/>
      <c r="H176" s="385"/>
      <c r="I176" s="385"/>
      <c r="J176" s="385"/>
      <c r="K176" s="385"/>
      <c r="L176" s="385"/>
      <c r="M176" s="385">
        <v>30000</v>
      </c>
      <c r="N176" s="385"/>
      <c r="O176" s="385"/>
      <c r="P176" s="262">
        <f t="shared" si="73"/>
        <v>0</v>
      </c>
      <c r="Q176" s="262">
        <f t="shared" si="74"/>
        <v>0</v>
      </c>
      <c r="R176" s="262">
        <f t="shared" si="75"/>
        <v>0</v>
      </c>
      <c r="S176" s="262">
        <f t="shared" si="76"/>
        <v>30000</v>
      </c>
      <c r="T176" s="385">
        <f t="shared" si="77"/>
        <v>30000</v>
      </c>
      <c r="U176" s="144"/>
      <c r="V176" s="336"/>
    </row>
    <row r="177" spans="1:22" s="276" customFormat="1" ht="27" hidden="1" customHeight="1" outlineLevel="1">
      <c r="A177" s="335" t="s">
        <v>691</v>
      </c>
      <c r="B177" s="145" t="s">
        <v>692</v>
      </c>
      <c r="C177" s="163" t="s">
        <v>673</v>
      </c>
      <c r="D177" s="385"/>
      <c r="E177" s="385"/>
      <c r="F177" s="397">
        <v>10000</v>
      </c>
      <c r="G177" s="385"/>
      <c r="H177" s="385"/>
      <c r="I177" s="385"/>
      <c r="J177" s="385"/>
      <c r="K177" s="385"/>
      <c r="L177" s="385"/>
      <c r="M177" s="385"/>
      <c r="N177" s="385"/>
      <c r="O177" s="385"/>
      <c r="P177" s="262">
        <f t="shared" si="73"/>
        <v>10000</v>
      </c>
      <c r="Q177" s="262">
        <f t="shared" si="74"/>
        <v>0</v>
      </c>
      <c r="R177" s="262">
        <f t="shared" si="75"/>
        <v>0</v>
      </c>
      <c r="S177" s="262">
        <f t="shared" si="76"/>
        <v>0</v>
      </c>
      <c r="T177" s="385">
        <f t="shared" si="77"/>
        <v>10000</v>
      </c>
      <c r="U177" s="144"/>
      <c r="V177" s="336"/>
    </row>
    <row r="178" spans="1:22" s="276" customFormat="1" ht="27" hidden="1" customHeight="1" outlineLevel="1">
      <c r="A178" s="335" t="s">
        <v>693</v>
      </c>
      <c r="B178" s="145" t="s">
        <v>694</v>
      </c>
      <c r="C178" s="163" t="s">
        <v>673</v>
      </c>
      <c r="D178" s="385"/>
      <c r="E178" s="385"/>
      <c r="F178" s="385"/>
      <c r="G178" s="385"/>
      <c r="H178" s="385"/>
      <c r="I178" s="385"/>
      <c r="J178" s="385"/>
      <c r="K178" s="385"/>
      <c r="L178" s="385"/>
      <c r="M178" s="397">
        <v>6906.25</v>
      </c>
      <c r="N178" s="385"/>
      <c r="O178" s="385"/>
      <c r="P178" s="262">
        <f t="shared" si="73"/>
        <v>0</v>
      </c>
      <c r="Q178" s="262">
        <f t="shared" si="74"/>
        <v>0</v>
      </c>
      <c r="R178" s="262">
        <f t="shared" si="75"/>
        <v>0</v>
      </c>
      <c r="S178" s="262">
        <f t="shared" si="76"/>
        <v>6906.25</v>
      </c>
      <c r="T178" s="385">
        <f t="shared" si="77"/>
        <v>6906.25</v>
      </c>
      <c r="U178" s="144"/>
      <c r="V178" s="336"/>
    </row>
    <row r="179" spans="1:22" s="276" customFormat="1" ht="40.5" hidden="1" customHeight="1" outlineLevel="1">
      <c r="A179" s="335" t="s">
        <v>695</v>
      </c>
      <c r="B179" s="145" t="s">
        <v>696</v>
      </c>
      <c r="C179" s="163" t="s">
        <v>673</v>
      </c>
      <c r="D179" s="385"/>
      <c r="E179" s="385">
        <v>130000</v>
      </c>
      <c r="F179" s="385">
        <v>3150</v>
      </c>
      <c r="G179" s="385">
        <v>23150</v>
      </c>
      <c r="H179" s="385">
        <v>3150</v>
      </c>
      <c r="I179" s="385">
        <v>30800</v>
      </c>
      <c r="J179" s="385">
        <v>3150</v>
      </c>
      <c r="K179" s="385">
        <v>3150</v>
      </c>
      <c r="L179" s="385">
        <v>3150</v>
      </c>
      <c r="M179" s="385">
        <v>3150</v>
      </c>
      <c r="N179" s="385">
        <v>3150</v>
      </c>
      <c r="O179" s="385">
        <v>3150</v>
      </c>
      <c r="P179" s="262">
        <f t="shared" si="73"/>
        <v>133150</v>
      </c>
      <c r="Q179" s="262">
        <f t="shared" si="74"/>
        <v>57100</v>
      </c>
      <c r="R179" s="262">
        <f t="shared" si="75"/>
        <v>9450</v>
      </c>
      <c r="S179" s="262">
        <f t="shared" si="76"/>
        <v>9450</v>
      </c>
      <c r="T179" s="385">
        <f t="shared" si="77"/>
        <v>209150</v>
      </c>
      <c r="U179" s="144"/>
      <c r="V179" s="336"/>
    </row>
    <row r="180" spans="1:22" s="351" customFormat="1" ht="27" hidden="1" customHeight="1" outlineLevel="1">
      <c r="A180" s="350" t="s">
        <v>697</v>
      </c>
      <c r="B180" s="145" t="s">
        <v>698</v>
      </c>
      <c r="C180" s="163" t="s">
        <v>699</v>
      </c>
      <c r="D180" s="385">
        <v>0</v>
      </c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5"/>
      <c r="P180" s="262">
        <f t="shared" si="73"/>
        <v>0</v>
      </c>
      <c r="Q180" s="262">
        <f t="shared" si="74"/>
        <v>0</v>
      </c>
      <c r="R180" s="262">
        <f t="shared" si="75"/>
        <v>0</v>
      </c>
      <c r="S180" s="262">
        <f t="shared" si="76"/>
        <v>0</v>
      </c>
      <c r="T180" s="385">
        <f t="shared" si="77"/>
        <v>0</v>
      </c>
      <c r="U180" s="144"/>
      <c r="V180" s="352"/>
    </row>
    <row r="181" spans="1:22" ht="27" hidden="1" customHeight="1" outlineLevel="1">
      <c r="A181" s="143" t="s">
        <v>700</v>
      </c>
      <c r="B181" s="145" t="s">
        <v>701</v>
      </c>
      <c r="C181" s="163" t="s">
        <v>430</v>
      </c>
      <c r="D181" s="385">
        <v>8531.08</v>
      </c>
      <c r="E181" s="385">
        <v>8531.08</v>
      </c>
      <c r="F181" s="385">
        <v>8531.08</v>
      </c>
      <c r="G181" s="385">
        <v>8531.08</v>
      </c>
      <c r="H181" s="385">
        <v>8531.08</v>
      </c>
      <c r="I181" s="385">
        <v>8531.08</v>
      </c>
      <c r="J181" s="385">
        <v>8531.08</v>
      </c>
      <c r="K181" s="385">
        <v>8531.08</v>
      </c>
      <c r="L181" s="385">
        <v>8531.08</v>
      </c>
      <c r="M181" s="385">
        <v>8531.08</v>
      </c>
      <c r="N181" s="385">
        <v>8531.08</v>
      </c>
      <c r="O181" s="385">
        <v>8531.08</v>
      </c>
      <c r="P181" s="262">
        <f t="shared" si="73"/>
        <v>25593.239999999998</v>
      </c>
      <c r="Q181" s="262">
        <f t="shared" si="74"/>
        <v>25593.239999999998</v>
      </c>
      <c r="R181" s="262">
        <f t="shared" si="75"/>
        <v>25593.239999999998</v>
      </c>
      <c r="S181" s="262">
        <f t="shared" si="76"/>
        <v>25593.239999999998</v>
      </c>
      <c r="T181" s="385">
        <f t="shared" si="77"/>
        <v>102372.96</v>
      </c>
      <c r="U181" s="144"/>
    </row>
    <row r="182" spans="1:22" ht="27" hidden="1" customHeight="1" outlineLevel="1">
      <c r="A182" s="143" t="s">
        <v>702</v>
      </c>
      <c r="B182" s="145"/>
      <c r="C182" s="163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5"/>
      <c r="P182" s="262">
        <f t="shared" si="73"/>
        <v>0</v>
      </c>
      <c r="Q182" s="262">
        <f t="shared" si="74"/>
        <v>0</v>
      </c>
      <c r="R182" s="262">
        <f t="shared" si="75"/>
        <v>0</v>
      </c>
      <c r="S182" s="262">
        <f t="shared" si="76"/>
        <v>0</v>
      </c>
      <c r="T182" s="385">
        <f t="shared" si="77"/>
        <v>0</v>
      </c>
      <c r="U182" s="144"/>
    </row>
    <row r="183" spans="1:22" ht="27" hidden="1" customHeight="1" outlineLevel="1">
      <c r="A183" s="143" t="s">
        <v>703</v>
      </c>
      <c r="B183" s="145" t="s">
        <v>704</v>
      </c>
      <c r="C183" s="187" t="s">
        <v>430</v>
      </c>
      <c r="D183" s="310">
        <v>7000</v>
      </c>
      <c r="E183" s="310">
        <v>7000</v>
      </c>
      <c r="F183" s="310">
        <v>7000</v>
      </c>
      <c r="G183" s="310">
        <v>7000</v>
      </c>
      <c r="H183" s="310">
        <v>7000</v>
      </c>
      <c r="I183" s="310">
        <v>7000</v>
      </c>
      <c r="J183" s="310">
        <v>7000</v>
      </c>
      <c r="K183" s="310">
        <v>7000</v>
      </c>
      <c r="L183" s="310">
        <v>7000</v>
      </c>
      <c r="M183" s="310">
        <v>7000</v>
      </c>
      <c r="N183" s="310">
        <v>7000</v>
      </c>
      <c r="O183" s="310">
        <v>7000</v>
      </c>
      <c r="P183" s="262">
        <f t="shared" si="73"/>
        <v>21000</v>
      </c>
      <c r="Q183" s="262">
        <f t="shared" si="74"/>
        <v>21000</v>
      </c>
      <c r="R183" s="262">
        <f t="shared" si="75"/>
        <v>21000</v>
      </c>
      <c r="S183" s="262">
        <f t="shared" si="76"/>
        <v>21000</v>
      </c>
      <c r="T183" s="385">
        <f t="shared" si="77"/>
        <v>84000</v>
      </c>
    </row>
    <row r="184" spans="1:22" s="139" customFormat="1" ht="27" customHeight="1" collapsed="1">
      <c r="A184" s="160"/>
      <c r="B184" s="161" t="s">
        <v>183</v>
      </c>
      <c r="C184" s="164"/>
      <c r="D184" s="234">
        <f>SUM(D174:D183)</f>
        <v>15531.08</v>
      </c>
      <c r="E184" s="234">
        <f t="shared" ref="E184:O184" si="78">SUM(E174:E183)</f>
        <v>145531.07999999999</v>
      </c>
      <c r="F184" s="234">
        <f t="shared" si="78"/>
        <v>48448.04</v>
      </c>
      <c r="G184" s="234">
        <f t="shared" si="78"/>
        <v>38681.08</v>
      </c>
      <c r="H184" s="234">
        <f t="shared" si="78"/>
        <v>18681.080000000002</v>
      </c>
      <c r="I184" s="234">
        <f t="shared" si="78"/>
        <v>46331.08</v>
      </c>
      <c r="J184" s="234">
        <f t="shared" si="78"/>
        <v>18681.080000000002</v>
      </c>
      <c r="K184" s="234">
        <f t="shared" si="78"/>
        <v>18681.080000000002</v>
      </c>
      <c r="L184" s="234">
        <f t="shared" si="78"/>
        <v>18681.080000000002</v>
      </c>
      <c r="M184" s="234">
        <f t="shared" si="78"/>
        <v>55587.33</v>
      </c>
      <c r="N184" s="234">
        <f t="shared" si="78"/>
        <v>18681.080000000002</v>
      </c>
      <c r="O184" s="234">
        <f t="shared" si="78"/>
        <v>18681.080000000002</v>
      </c>
      <c r="P184" s="234">
        <f>SUM(D184:F184)</f>
        <v>209510.19999999998</v>
      </c>
      <c r="Q184" s="234">
        <f t="shared" ref="Q184" si="79">SUM(G184:I184)</f>
        <v>103693.24</v>
      </c>
      <c r="R184" s="234">
        <f t="shared" ref="R184" si="80">SUM(J184:L184)</f>
        <v>56043.240000000005</v>
      </c>
      <c r="S184" s="234">
        <f t="shared" ref="S184" si="81">SUM(M184:O184)</f>
        <v>92949.49</v>
      </c>
      <c r="T184" s="234">
        <f>SUM(T174:T183)</f>
        <v>462196.17</v>
      </c>
      <c r="U184" s="419">
        <f>T184/$T$315</f>
        <v>2.1739216932965461E-3</v>
      </c>
      <c r="V184" s="227"/>
    </row>
    <row r="185" spans="1:22" s="139" customFormat="1" ht="27" customHeight="1">
      <c r="A185" s="158" t="s">
        <v>705</v>
      </c>
      <c r="B185" s="258" t="s">
        <v>706</v>
      </c>
      <c r="C185" s="258" t="s">
        <v>335</v>
      </c>
      <c r="D185" s="259" t="s">
        <v>336</v>
      </c>
      <c r="E185" s="259" t="s">
        <v>337</v>
      </c>
      <c r="F185" s="259" t="s">
        <v>338</v>
      </c>
      <c r="G185" s="259" t="s">
        <v>339</v>
      </c>
      <c r="H185" s="259" t="s">
        <v>340</v>
      </c>
      <c r="I185" s="259" t="s">
        <v>341</v>
      </c>
      <c r="J185" s="259" t="s">
        <v>342</v>
      </c>
      <c r="K185" s="259" t="s">
        <v>343</v>
      </c>
      <c r="L185" s="259" t="s">
        <v>344</v>
      </c>
      <c r="M185" s="259" t="s">
        <v>345</v>
      </c>
      <c r="N185" s="259" t="s">
        <v>346</v>
      </c>
      <c r="O185" s="259" t="s">
        <v>347</v>
      </c>
      <c r="P185" s="202" t="s">
        <v>348</v>
      </c>
      <c r="Q185" s="202" t="s">
        <v>349</v>
      </c>
      <c r="R185" s="202" t="s">
        <v>350</v>
      </c>
      <c r="S185" s="202" t="s">
        <v>351</v>
      </c>
      <c r="T185" s="259" t="s">
        <v>352</v>
      </c>
      <c r="V185" s="227"/>
    </row>
    <row r="186" spans="1:22" ht="27" customHeight="1" outlineLevel="1">
      <c r="A186" s="143" t="s">
        <v>707</v>
      </c>
      <c r="B186" s="145" t="s">
        <v>708</v>
      </c>
      <c r="C186" s="163" t="s">
        <v>355</v>
      </c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62">
        <f t="shared" ref="P186:P191" si="82">SUM(D186:F186)</f>
        <v>0</v>
      </c>
      <c r="Q186" s="262">
        <f>SUM(G186:I186)</f>
        <v>0</v>
      </c>
      <c r="R186" s="262">
        <f>SUM(J186:L186)</f>
        <v>0</v>
      </c>
      <c r="S186" s="262">
        <f>SUM(M186:O186)</f>
        <v>0</v>
      </c>
      <c r="T186" s="237">
        <f>SUM(D186:O186)</f>
        <v>0</v>
      </c>
    </row>
    <row r="187" spans="1:22" ht="27" customHeight="1" outlineLevel="1">
      <c r="A187" s="143" t="s">
        <v>709</v>
      </c>
      <c r="B187" s="145" t="s">
        <v>710</v>
      </c>
      <c r="C187" s="163" t="s">
        <v>355</v>
      </c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62">
        <f t="shared" si="82"/>
        <v>0</v>
      </c>
      <c r="Q187" s="262">
        <f t="shared" ref="Q187:Q190" si="83">SUM(G187:I187)</f>
        <v>0</v>
      </c>
      <c r="R187" s="262">
        <f t="shared" ref="R187:R190" si="84">SUM(J187:L187)</f>
        <v>0</v>
      </c>
      <c r="S187" s="262">
        <f t="shared" ref="S187:S190" si="85">SUM(M187:O187)</f>
        <v>0</v>
      </c>
      <c r="T187" s="237">
        <f>SUM(D187:O187)</f>
        <v>0</v>
      </c>
    </row>
    <row r="188" spans="1:22" ht="27" customHeight="1" outlineLevel="1">
      <c r="A188" s="143" t="s">
        <v>711</v>
      </c>
      <c r="B188" s="145" t="s">
        <v>712</v>
      </c>
      <c r="C188" s="163" t="s">
        <v>355</v>
      </c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62">
        <f t="shared" si="82"/>
        <v>0</v>
      </c>
      <c r="Q188" s="262">
        <f t="shared" si="83"/>
        <v>0</v>
      </c>
      <c r="R188" s="262">
        <f t="shared" si="84"/>
        <v>0</v>
      </c>
      <c r="S188" s="262">
        <f t="shared" si="85"/>
        <v>0</v>
      </c>
      <c r="T188" s="237">
        <f>SUM(D188:O188)</f>
        <v>0</v>
      </c>
    </row>
    <row r="189" spans="1:22" ht="27" customHeight="1" outlineLevel="1">
      <c r="A189" s="143" t="s">
        <v>713</v>
      </c>
      <c r="B189" s="145"/>
      <c r="C189" s="163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62">
        <f t="shared" si="82"/>
        <v>0</v>
      </c>
      <c r="Q189" s="262">
        <f t="shared" si="83"/>
        <v>0</v>
      </c>
      <c r="R189" s="262">
        <f t="shared" si="84"/>
        <v>0</v>
      </c>
      <c r="S189" s="262">
        <f t="shared" si="85"/>
        <v>0</v>
      </c>
      <c r="T189" s="237">
        <f>SUM(D189:O189)</f>
        <v>0</v>
      </c>
    </row>
    <row r="190" spans="1:22" ht="27" customHeight="1" outlineLevel="1">
      <c r="A190" s="143" t="s">
        <v>714</v>
      </c>
      <c r="B190" s="145"/>
      <c r="C190" s="163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62">
        <f t="shared" si="82"/>
        <v>0</v>
      </c>
      <c r="Q190" s="262">
        <f t="shared" si="83"/>
        <v>0</v>
      </c>
      <c r="R190" s="262">
        <f t="shared" si="84"/>
        <v>0</v>
      </c>
      <c r="S190" s="262">
        <f t="shared" si="85"/>
        <v>0</v>
      </c>
      <c r="T190" s="237">
        <f>SUM(D190:O190)</f>
        <v>0</v>
      </c>
    </row>
    <row r="191" spans="1:22" s="139" customFormat="1" ht="27" customHeight="1">
      <c r="A191" s="160"/>
      <c r="B191" s="161" t="s">
        <v>200</v>
      </c>
      <c r="C191" s="162"/>
      <c r="D191" s="234">
        <f>SUM(D186:D190)</f>
        <v>0</v>
      </c>
      <c r="E191" s="234">
        <f t="shared" ref="E191:O191" si="86">SUM(E186:E190)</f>
        <v>0</v>
      </c>
      <c r="F191" s="234">
        <f t="shared" si="86"/>
        <v>0</v>
      </c>
      <c r="G191" s="234">
        <f t="shared" si="86"/>
        <v>0</v>
      </c>
      <c r="H191" s="234">
        <f t="shared" si="86"/>
        <v>0</v>
      </c>
      <c r="I191" s="234">
        <f t="shared" si="86"/>
        <v>0</v>
      </c>
      <c r="J191" s="234">
        <f t="shared" si="86"/>
        <v>0</v>
      </c>
      <c r="K191" s="234">
        <f t="shared" si="86"/>
        <v>0</v>
      </c>
      <c r="L191" s="234">
        <f t="shared" si="86"/>
        <v>0</v>
      </c>
      <c r="M191" s="234">
        <f t="shared" si="86"/>
        <v>0</v>
      </c>
      <c r="N191" s="234">
        <f t="shared" si="86"/>
        <v>0</v>
      </c>
      <c r="O191" s="234">
        <f t="shared" si="86"/>
        <v>0</v>
      </c>
      <c r="P191" s="234">
        <f t="shared" si="82"/>
        <v>0</v>
      </c>
      <c r="Q191" s="234">
        <f t="shared" ref="Q191" si="87">SUM(G191:I191)</f>
        <v>0</v>
      </c>
      <c r="R191" s="234">
        <f t="shared" ref="R191" si="88">SUM(J191:L191)</f>
        <v>0</v>
      </c>
      <c r="S191" s="234">
        <f t="shared" ref="S191" si="89">SUM(M191:O191)</f>
        <v>0</v>
      </c>
      <c r="T191" s="234">
        <f>SUM(T186:T190)</f>
        <v>0</v>
      </c>
      <c r="V191" s="227"/>
    </row>
    <row r="192" spans="1:22" s="139" customFormat="1" ht="27" customHeight="1">
      <c r="A192" s="158" t="s">
        <v>715</v>
      </c>
      <c r="B192" s="159" t="s">
        <v>716</v>
      </c>
      <c r="C192" s="159" t="s">
        <v>335</v>
      </c>
      <c r="D192" s="202" t="s">
        <v>336</v>
      </c>
      <c r="E192" s="202" t="s">
        <v>337</v>
      </c>
      <c r="F192" s="202" t="s">
        <v>338</v>
      </c>
      <c r="G192" s="202" t="s">
        <v>339</v>
      </c>
      <c r="H192" s="202" t="s">
        <v>340</v>
      </c>
      <c r="I192" s="202" t="s">
        <v>341</v>
      </c>
      <c r="J192" s="202" t="s">
        <v>342</v>
      </c>
      <c r="K192" s="202" t="s">
        <v>343</v>
      </c>
      <c r="L192" s="202" t="s">
        <v>344</v>
      </c>
      <c r="M192" s="202" t="s">
        <v>345</v>
      </c>
      <c r="N192" s="202" t="s">
        <v>346</v>
      </c>
      <c r="O192" s="202" t="s">
        <v>347</v>
      </c>
      <c r="P192" s="202" t="s">
        <v>348</v>
      </c>
      <c r="Q192" s="202" t="s">
        <v>349</v>
      </c>
      <c r="R192" s="202" t="s">
        <v>350</v>
      </c>
      <c r="S192" s="202" t="s">
        <v>351</v>
      </c>
      <c r="T192" s="202" t="s">
        <v>352</v>
      </c>
      <c r="V192" s="227"/>
    </row>
    <row r="193" spans="1:20" ht="27" customHeight="1" outlineLevel="1">
      <c r="A193" s="143" t="s">
        <v>717</v>
      </c>
      <c r="B193" s="143" t="s">
        <v>185</v>
      </c>
      <c r="C193" s="163" t="s">
        <v>355</v>
      </c>
      <c r="D193" s="266">
        <v>450</v>
      </c>
      <c r="E193" s="266">
        <v>450</v>
      </c>
      <c r="F193" s="266">
        <v>450</v>
      </c>
      <c r="G193" s="266">
        <v>450</v>
      </c>
      <c r="H193" s="266">
        <v>450</v>
      </c>
      <c r="I193" s="266">
        <v>450</v>
      </c>
      <c r="J193" s="266">
        <v>450</v>
      </c>
      <c r="K193" s="266">
        <v>450</v>
      </c>
      <c r="L193" s="266">
        <v>450</v>
      </c>
      <c r="M193" s="266">
        <v>450</v>
      </c>
      <c r="N193" s="266">
        <v>450</v>
      </c>
      <c r="O193" s="266">
        <v>450</v>
      </c>
      <c r="P193" s="262">
        <f t="shared" ref="P193:P213" si="90">SUM(D193:F193)</f>
        <v>1350</v>
      </c>
      <c r="Q193" s="262">
        <f>SUM(G193:I193)</f>
        <v>1350</v>
      </c>
      <c r="R193" s="262">
        <f>SUM(J193:L193)</f>
        <v>1350</v>
      </c>
      <c r="S193" s="262">
        <f>SUM(M193:O193)</f>
        <v>1350</v>
      </c>
      <c r="T193" s="262">
        <f t="shared" ref="T193:T212" si="91">SUM(D193:O193)</f>
        <v>5400</v>
      </c>
    </row>
    <row r="194" spans="1:20" ht="27" customHeight="1" outlineLevel="1">
      <c r="A194" s="143" t="s">
        <v>718</v>
      </c>
      <c r="B194" s="143" t="s">
        <v>719</v>
      </c>
      <c r="C194" s="163" t="s">
        <v>355</v>
      </c>
      <c r="D194" s="263">
        <v>100</v>
      </c>
      <c r="E194" s="263">
        <v>100</v>
      </c>
      <c r="F194" s="263">
        <v>100</v>
      </c>
      <c r="G194" s="263">
        <v>100</v>
      </c>
      <c r="H194" s="263">
        <v>100</v>
      </c>
      <c r="I194" s="263">
        <v>100</v>
      </c>
      <c r="J194" s="263">
        <v>100</v>
      </c>
      <c r="K194" s="263">
        <v>100</v>
      </c>
      <c r="L194" s="263">
        <v>100</v>
      </c>
      <c r="M194" s="263">
        <v>100</v>
      </c>
      <c r="N194" s="263">
        <v>100</v>
      </c>
      <c r="O194" s="263">
        <v>100</v>
      </c>
      <c r="P194" s="262">
        <f t="shared" si="90"/>
        <v>300</v>
      </c>
      <c r="Q194" s="262">
        <f t="shared" ref="Q194:Q212" si="92">SUM(G194:I194)</f>
        <v>300</v>
      </c>
      <c r="R194" s="262">
        <f t="shared" ref="R194:R212" si="93">SUM(J194:L194)</f>
        <v>300</v>
      </c>
      <c r="S194" s="262">
        <f t="shared" ref="S194:S212" si="94">SUM(M194:O194)</f>
        <v>300</v>
      </c>
      <c r="T194" s="262">
        <f t="shared" si="91"/>
        <v>1200</v>
      </c>
    </row>
    <row r="195" spans="1:20" ht="27" customHeight="1" outlineLevel="1">
      <c r="A195" s="143" t="s">
        <v>720</v>
      </c>
      <c r="B195" s="143" t="s">
        <v>721</v>
      </c>
      <c r="C195" s="163" t="s">
        <v>355</v>
      </c>
      <c r="D195" s="263">
        <v>6500</v>
      </c>
      <c r="E195" s="263">
        <v>6500</v>
      </c>
      <c r="F195" s="263">
        <v>6500</v>
      </c>
      <c r="G195" s="263">
        <v>6500</v>
      </c>
      <c r="H195" s="263">
        <v>6500</v>
      </c>
      <c r="I195" s="263">
        <v>6500</v>
      </c>
      <c r="J195" s="263">
        <v>6500</v>
      </c>
      <c r="K195" s="263">
        <v>6500</v>
      </c>
      <c r="L195" s="263">
        <v>6500</v>
      </c>
      <c r="M195" s="263">
        <v>6500</v>
      </c>
      <c r="N195" s="263">
        <v>6500</v>
      </c>
      <c r="O195" s="263">
        <v>6500</v>
      </c>
      <c r="P195" s="262">
        <f t="shared" si="90"/>
        <v>19500</v>
      </c>
      <c r="Q195" s="262">
        <f t="shared" si="92"/>
        <v>19500</v>
      </c>
      <c r="R195" s="262">
        <f t="shared" si="93"/>
        <v>19500</v>
      </c>
      <c r="S195" s="262">
        <f t="shared" si="94"/>
        <v>19500</v>
      </c>
      <c r="T195" s="262">
        <f t="shared" si="91"/>
        <v>78000</v>
      </c>
    </row>
    <row r="196" spans="1:20" ht="27" customHeight="1" outlineLevel="1">
      <c r="A196" s="143" t="s">
        <v>722</v>
      </c>
      <c r="B196" s="143" t="s">
        <v>723</v>
      </c>
      <c r="C196" s="163" t="s">
        <v>355</v>
      </c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2">
        <f t="shared" si="90"/>
        <v>0</v>
      </c>
      <c r="Q196" s="262">
        <f t="shared" si="92"/>
        <v>0</v>
      </c>
      <c r="R196" s="262">
        <f t="shared" si="93"/>
        <v>0</v>
      </c>
      <c r="S196" s="262">
        <f t="shared" si="94"/>
        <v>0</v>
      </c>
      <c r="T196" s="262">
        <f t="shared" si="91"/>
        <v>0</v>
      </c>
    </row>
    <row r="197" spans="1:20" ht="27" customHeight="1" outlineLevel="1">
      <c r="A197" s="143" t="s">
        <v>724</v>
      </c>
      <c r="B197" s="143" t="s">
        <v>725</v>
      </c>
      <c r="C197" s="163" t="s">
        <v>355</v>
      </c>
      <c r="D197" s="263">
        <v>450000</v>
      </c>
      <c r="E197" s="263">
        <v>450000</v>
      </c>
      <c r="F197" s="263">
        <v>450000</v>
      </c>
      <c r="G197" s="263">
        <v>450000</v>
      </c>
      <c r="H197" s="263">
        <v>450000</v>
      </c>
      <c r="I197" s="263">
        <v>450000</v>
      </c>
      <c r="J197" s="263">
        <v>450000</v>
      </c>
      <c r="K197" s="263">
        <v>450000</v>
      </c>
      <c r="L197" s="263">
        <v>450000</v>
      </c>
      <c r="M197" s="263">
        <v>450000</v>
      </c>
      <c r="N197" s="263">
        <v>450000</v>
      </c>
      <c r="O197" s="263">
        <v>450000</v>
      </c>
      <c r="P197" s="262">
        <f t="shared" si="90"/>
        <v>1350000</v>
      </c>
      <c r="Q197" s="262">
        <f t="shared" si="92"/>
        <v>1350000</v>
      </c>
      <c r="R197" s="262">
        <f t="shared" si="93"/>
        <v>1350000</v>
      </c>
      <c r="S197" s="262">
        <f t="shared" si="94"/>
        <v>1350000</v>
      </c>
      <c r="T197" s="262">
        <f t="shared" si="91"/>
        <v>5400000</v>
      </c>
    </row>
    <row r="198" spans="1:20" ht="27" customHeight="1" outlineLevel="1">
      <c r="A198" s="143" t="s">
        <v>726</v>
      </c>
      <c r="B198" s="143" t="s">
        <v>188</v>
      </c>
      <c r="C198" s="163" t="s">
        <v>355</v>
      </c>
      <c r="D198" s="263">
        <v>100000</v>
      </c>
      <c r="E198" s="263">
        <v>100000</v>
      </c>
      <c r="F198" s="263">
        <v>100000</v>
      </c>
      <c r="G198" s="263">
        <v>100000</v>
      </c>
      <c r="H198" s="263">
        <v>100000</v>
      </c>
      <c r="I198" s="263">
        <v>100000</v>
      </c>
      <c r="J198" s="263">
        <v>100000</v>
      </c>
      <c r="K198" s="263">
        <v>100000</v>
      </c>
      <c r="L198" s="263">
        <v>100000</v>
      </c>
      <c r="M198" s="263">
        <v>100000</v>
      </c>
      <c r="N198" s="263">
        <v>100000</v>
      </c>
      <c r="O198" s="263">
        <v>100000</v>
      </c>
      <c r="P198" s="262">
        <f t="shared" si="90"/>
        <v>300000</v>
      </c>
      <c r="Q198" s="262">
        <f t="shared" si="92"/>
        <v>300000</v>
      </c>
      <c r="R198" s="262">
        <f t="shared" si="93"/>
        <v>300000</v>
      </c>
      <c r="S198" s="262">
        <f t="shared" si="94"/>
        <v>300000</v>
      </c>
      <c r="T198" s="262">
        <f t="shared" si="91"/>
        <v>1200000</v>
      </c>
    </row>
    <row r="199" spans="1:20" ht="27" customHeight="1" outlineLevel="1">
      <c r="A199" s="143" t="s">
        <v>727</v>
      </c>
      <c r="B199" s="143" t="s">
        <v>189</v>
      </c>
      <c r="C199" s="163" t="s">
        <v>355</v>
      </c>
      <c r="D199" s="265">
        <v>10000</v>
      </c>
      <c r="E199" s="265">
        <v>10000</v>
      </c>
      <c r="F199" s="265">
        <v>10000</v>
      </c>
      <c r="G199" s="265">
        <v>10000</v>
      </c>
      <c r="H199" s="265">
        <v>10000</v>
      </c>
      <c r="I199" s="265">
        <v>10000</v>
      </c>
      <c r="J199" s="265">
        <v>10000</v>
      </c>
      <c r="K199" s="265">
        <v>10000</v>
      </c>
      <c r="L199" s="265">
        <v>10000</v>
      </c>
      <c r="M199" s="265">
        <v>10000</v>
      </c>
      <c r="N199" s="265">
        <v>10000</v>
      </c>
      <c r="O199" s="265">
        <v>10000</v>
      </c>
      <c r="P199" s="262">
        <f t="shared" si="90"/>
        <v>30000</v>
      </c>
      <c r="Q199" s="262">
        <f t="shared" si="92"/>
        <v>30000</v>
      </c>
      <c r="R199" s="262">
        <f t="shared" si="93"/>
        <v>30000</v>
      </c>
      <c r="S199" s="262">
        <f t="shared" si="94"/>
        <v>30000</v>
      </c>
      <c r="T199" s="262">
        <f t="shared" si="91"/>
        <v>120000</v>
      </c>
    </row>
    <row r="200" spans="1:20" ht="27" customHeight="1" outlineLevel="1">
      <c r="A200" s="143" t="s">
        <v>728</v>
      </c>
      <c r="B200" s="143" t="s">
        <v>729</v>
      </c>
      <c r="C200" s="163" t="s">
        <v>355</v>
      </c>
      <c r="D200" s="263" t="s">
        <v>358</v>
      </c>
      <c r="E200" s="264" t="s">
        <v>358</v>
      </c>
      <c r="F200" s="264">
        <v>20</v>
      </c>
      <c r="G200" s="264" t="s">
        <v>358</v>
      </c>
      <c r="H200" s="264" t="s">
        <v>358</v>
      </c>
      <c r="I200" s="264" t="s">
        <v>358</v>
      </c>
      <c r="J200" s="264" t="s">
        <v>358</v>
      </c>
      <c r="K200" s="264" t="s">
        <v>358</v>
      </c>
      <c r="L200" s="264" t="s">
        <v>358</v>
      </c>
      <c r="M200" s="264" t="s">
        <v>358</v>
      </c>
      <c r="N200" s="264" t="s">
        <v>358</v>
      </c>
      <c r="O200" s="264" t="s">
        <v>358</v>
      </c>
      <c r="P200" s="262">
        <f t="shared" si="90"/>
        <v>20</v>
      </c>
      <c r="Q200" s="262">
        <f t="shared" si="92"/>
        <v>0</v>
      </c>
      <c r="R200" s="262">
        <f t="shared" si="93"/>
        <v>0</v>
      </c>
      <c r="S200" s="262">
        <f t="shared" si="94"/>
        <v>0</v>
      </c>
      <c r="T200" s="262">
        <f t="shared" si="91"/>
        <v>20</v>
      </c>
    </row>
    <row r="201" spans="1:20" ht="27" customHeight="1" outlineLevel="1">
      <c r="A201" s="143" t="s">
        <v>730</v>
      </c>
      <c r="B201" s="143" t="s">
        <v>731</v>
      </c>
      <c r="C201" s="163" t="s">
        <v>355</v>
      </c>
      <c r="D201" s="263">
        <v>40500</v>
      </c>
      <c r="E201" s="263">
        <v>40500</v>
      </c>
      <c r="F201" s="263">
        <v>40500</v>
      </c>
      <c r="G201" s="263">
        <v>40500</v>
      </c>
      <c r="H201" s="263">
        <v>40500</v>
      </c>
      <c r="I201" s="263">
        <v>40500</v>
      </c>
      <c r="J201" s="263">
        <v>40500</v>
      </c>
      <c r="K201" s="263">
        <v>40500</v>
      </c>
      <c r="L201" s="263">
        <v>40500</v>
      </c>
      <c r="M201" s="263">
        <v>40500</v>
      </c>
      <c r="N201" s="263">
        <v>40500</v>
      </c>
      <c r="O201" s="263">
        <v>40500</v>
      </c>
      <c r="P201" s="262">
        <f t="shared" si="90"/>
        <v>121500</v>
      </c>
      <c r="Q201" s="262">
        <f t="shared" si="92"/>
        <v>121500</v>
      </c>
      <c r="R201" s="262">
        <f t="shared" si="93"/>
        <v>121500</v>
      </c>
      <c r="S201" s="262">
        <f t="shared" si="94"/>
        <v>121500</v>
      </c>
      <c r="T201" s="262">
        <f t="shared" si="91"/>
        <v>486000</v>
      </c>
    </row>
    <row r="202" spans="1:20" ht="27" customHeight="1" outlineLevel="1">
      <c r="A202" s="143" t="s">
        <v>732</v>
      </c>
      <c r="B202" s="143" t="s">
        <v>191</v>
      </c>
      <c r="C202" s="163" t="s">
        <v>355</v>
      </c>
      <c r="D202" s="263">
        <v>4500</v>
      </c>
      <c r="E202" s="263">
        <v>4500</v>
      </c>
      <c r="F202" s="263">
        <v>4500</v>
      </c>
      <c r="G202" s="263">
        <v>4500</v>
      </c>
      <c r="H202" s="263">
        <v>4500</v>
      </c>
      <c r="I202" s="263">
        <v>4500</v>
      </c>
      <c r="J202" s="263">
        <v>4500</v>
      </c>
      <c r="K202" s="263">
        <v>4500</v>
      </c>
      <c r="L202" s="263">
        <v>4500</v>
      </c>
      <c r="M202" s="263">
        <v>4500</v>
      </c>
      <c r="N202" s="263">
        <v>4500</v>
      </c>
      <c r="O202" s="263">
        <v>4500</v>
      </c>
      <c r="P202" s="262">
        <f t="shared" si="90"/>
        <v>13500</v>
      </c>
      <c r="Q202" s="262">
        <f t="shared" si="92"/>
        <v>13500</v>
      </c>
      <c r="R202" s="262">
        <f t="shared" si="93"/>
        <v>13500</v>
      </c>
      <c r="S202" s="262">
        <f t="shared" si="94"/>
        <v>13500</v>
      </c>
      <c r="T202" s="262">
        <f t="shared" si="91"/>
        <v>54000</v>
      </c>
    </row>
    <row r="203" spans="1:20" ht="27" customHeight="1" outlineLevel="1">
      <c r="A203" s="143" t="s">
        <v>733</v>
      </c>
      <c r="B203" s="143" t="s">
        <v>192</v>
      </c>
      <c r="C203" s="163" t="s">
        <v>355</v>
      </c>
      <c r="D203" s="263">
        <v>9000</v>
      </c>
      <c r="E203" s="263">
        <v>9000</v>
      </c>
      <c r="F203" s="263">
        <v>9000</v>
      </c>
      <c r="G203" s="263">
        <v>9000</v>
      </c>
      <c r="H203" s="263">
        <v>9000</v>
      </c>
      <c r="I203" s="263">
        <v>9000</v>
      </c>
      <c r="J203" s="263">
        <v>9000</v>
      </c>
      <c r="K203" s="263">
        <v>9000</v>
      </c>
      <c r="L203" s="263">
        <v>9000</v>
      </c>
      <c r="M203" s="263">
        <v>9000</v>
      </c>
      <c r="N203" s="263">
        <v>9000</v>
      </c>
      <c r="O203" s="263">
        <v>9000</v>
      </c>
      <c r="P203" s="262">
        <f t="shared" si="90"/>
        <v>27000</v>
      </c>
      <c r="Q203" s="262">
        <f t="shared" si="92"/>
        <v>27000</v>
      </c>
      <c r="R203" s="262">
        <f t="shared" si="93"/>
        <v>27000</v>
      </c>
      <c r="S203" s="262">
        <f t="shared" si="94"/>
        <v>27000</v>
      </c>
      <c r="T203" s="262">
        <f t="shared" si="91"/>
        <v>108000</v>
      </c>
    </row>
    <row r="204" spans="1:20" ht="27" customHeight="1" outlineLevel="1">
      <c r="A204" s="143" t="s">
        <v>734</v>
      </c>
      <c r="B204" s="143" t="s">
        <v>735</v>
      </c>
      <c r="C204" s="163" t="s">
        <v>355</v>
      </c>
      <c r="D204" s="263">
        <v>8980</v>
      </c>
      <c r="E204" s="263">
        <v>8980</v>
      </c>
      <c r="F204" s="263">
        <v>8980</v>
      </c>
      <c r="G204" s="263">
        <v>8980</v>
      </c>
      <c r="H204" s="263">
        <v>8980</v>
      </c>
      <c r="I204" s="263">
        <v>8980</v>
      </c>
      <c r="J204" s="263">
        <v>8980</v>
      </c>
      <c r="K204" s="263">
        <v>8980</v>
      </c>
      <c r="L204" s="263">
        <v>8980</v>
      </c>
      <c r="M204" s="263">
        <v>8980</v>
      </c>
      <c r="N204" s="263">
        <v>8980</v>
      </c>
      <c r="O204" s="263">
        <v>8980</v>
      </c>
      <c r="P204" s="262">
        <f t="shared" si="90"/>
        <v>26940</v>
      </c>
      <c r="Q204" s="262">
        <f t="shared" si="92"/>
        <v>26940</v>
      </c>
      <c r="R204" s="262">
        <f t="shared" si="93"/>
        <v>26940</v>
      </c>
      <c r="S204" s="262">
        <f t="shared" si="94"/>
        <v>26940</v>
      </c>
      <c r="T204" s="262">
        <f t="shared" si="91"/>
        <v>107760</v>
      </c>
    </row>
    <row r="205" spans="1:20" ht="27" customHeight="1" outlineLevel="1">
      <c r="A205" s="143" t="s">
        <v>736</v>
      </c>
      <c r="B205" s="143" t="s">
        <v>194</v>
      </c>
      <c r="C205" s="163" t="s">
        <v>355</v>
      </c>
      <c r="D205" s="263">
        <v>80000</v>
      </c>
      <c r="E205" s="263">
        <v>80000</v>
      </c>
      <c r="F205" s="263">
        <v>80000</v>
      </c>
      <c r="G205" s="263">
        <v>80000</v>
      </c>
      <c r="H205" s="263">
        <v>80000</v>
      </c>
      <c r="I205" s="263">
        <v>80000</v>
      </c>
      <c r="J205" s="263">
        <v>80000</v>
      </c>
      <c r="K205" s="263">
        <v>80000</v>
      </c>
      <c r="L205" s="263">
        <v>80000</v>
      </c>
      <c r="M205" s="263">
        <v>80000</v>
      </c>
      <c r="N205" s="263">
        <v>80000</v>
      </c>
      <c r="O205" s="263">
        <v>80000</v>
      </c>
      <c r="P205" s="262">
        <f t="shared" si="90"/>
        <v>240000</v>
      </c>
      <c r="Q205" s="262">
        <f t="shared" si="92"/>
        <v>240000</v>
      </c>
      <c r="R205" s="262">
        <f t="shared" si="93"/>
        <v>240000</v>
      </c>
      <c r="S205" s="262">
        <f t="shared" si="94"/>
        <v>240000</v>
      </c>
      <c r="T205" s="262">
        <f t="shared" si="91"/>
        <v>960000</v>
      </c>
    </row>
    <row r="206" spans="1:20" ht="27" customHeight="1" outlineLevel="1">
      <c r="A206" s="143" t="s">
        <v>737</v>
      </c>
      <c r="B206" s="143" t="s">
        <v>738</v>
      </c>
      <c r="C206" s="163" t="s">
        <v>355</v>
      </c>
      <c r="D206" s="263">
        <v>30000</v>
      </c>
      <c r="E206" s="263">
        <v>30000</v>
      </c>
      <c r="F206" s="263">
        <v>30000</v>
      </c>
      <c r="G206" s="263">
        <v>30000</v>
      </c>
      <c r="H206" s="263">
        <v>30000</v>
      </c>
      <c r="I206" s="263">
        <v>30000</v>
      </c>
      <c r="J206" s="263">
        <v>30000</v>
      </c>
      <c r="K206" s="263">
        <v>30000</v>
      </c>
      <c r="L206" s="263">
        <v>30000</v>
      </c>
      <c r="M206" s="263">
        <v>30000</v>
      </c>
      <c r="N206" s="263">
        <v>30000</v>
      </c>
      <c r="O206" s="263">
        <v>30000</v>
      </c>
      <c r="P206" s="262">
        <f t="shared" si="90"/>
        <v>90000</v>
      </c>
      <c r="Q206" s="262">
        <f t="shared" si="92"/>
        <v>90000</v>
      </c>
      <c r="R206" s="262">
        <f t="shared" si="93"/>
        <v>90000</v>
      </c>
      <c r="S206" s="262">
        <f t="shared" si="94"/>
        <v>90000</v>
      </c>
      <c r="T206" s="262">
        <f t="shared" si="91"/>
        <v>360000</v>
      </c>
    </row>
    <row r="207" spans="1:20" ht="27" customHeight="1" outlineLevel="1">
      <c r="A207" s="143" t="s">
        <v>739</v>
      </c>
      <c r="B207" s="143" t="s">
        <v>196</v>
      </c>
      <c r="C207" s="163" t="s">
        <v>355</v>
      </c>
      <c r="D207" s="263">
        <v>3300</v>
      </c>
      <c r="E207" s="263">
        <v>3300</v>
      </c>
      <c r="F207" s="263">
        <v>3300</v>
      </c>
      <c r="G207" s="263">
        <v>3300</v>
      </c>
      <c r="H207" s="263">
        <v>3300</v>
      </c>
      <c r="I207" s="263">
        <v>3300</v>
      </c>
      <c r="J207" s="263">
        <v>3300</v>
      </c>
      <c r="K207" s="263">
        <v>3300</v>
      </c>
      <c r="L207" s="263">
        <v>3300</v>
      </c>
      <c r="M207" s="263">
        <v>3300</v>
      </c>
      <c r="N207" s="263">
        <v>3300</v>
      </c>
      <c r="O207" s="263">
        <v>3300</v>
      </c>
      <c r="P207" s="262">
        <f t="shared" si="90"/>
        <v>9900</v>
      </c>
      <c r="Q207" s="262">
        <f t="shared" si="92"/>
        <v>9900</v>
      </c>
      <c r="R207" s="262">
        <f t="shared" si="93"/>
        <v>9900</v>
      </c>
      <c r="S207" s="262">
        <f t="shared" si="94"/>
        <v>9900</v>
      </c>
      <c r="T207" s="262">
        <f t="shared" si="91"/>
        <v>39600</v>
      </c>
    </row>
    <row r="208" spans="1:20" ht="27" customHeight="1" outlineLevel="1">
      <c r="A208" s="143" t="s">
        <v>740</v>
      </c>
      <c r="B208" s="143" t="s">
        <v>197</v>
      </c>
      <c r="C208" s="163" t="s">
        <v>355</v>
      </c>
      <c r="D208" s="263">
        <v>40000</v>
      </c>
      <c r="E208" s="263">
        <v>40000</v>
      </c>
      <c r="F208" s="263">
        <v>40000</v>
      </c>
      <c r="G208" s="263">
        <v>40000</v>
      </c>
      <c r="H208" s="263">
        <v>40000</v>
      </c>
      <c r="I208" s="263">
        <v>40000</v>
      </c>
      <c r="J208" s="263">
        <v>40000</v>
      </c>
      <c r="K208" s="263">
        <v>40000</v>
      </c>
      <c r="L208" s="263">
        <v>40000</v>
      </c>
      <c r="M208" s="263">
        <v>40000</v>
      </c>
      <c r="N208" s="263">
        <v>40000</v>
      </c>
      <c r="O208" s="263">
        <v>40000</v>
      </c>
      <c r="P208" s="262">
        <f>SUM(D208:F208)</f>
        <v>120000</v>
      </c>
      <c r="Q208" s="262">
        <f t="shared" si="92"/>
        <v>120000</v>
      </c>
      <c r="R208" s="262">
        <f t="shared" si="93"/>
        <v>120000</v>
      </c>
      <c r="S208" s="262">
        <f t="shared" si="94"/>
        <v>120000</v>
      </c>
      <c r="T208" s="262">
        <f t="shared" si="91"/>
        <v>480000</v>
      </c>
    </row>
    <row r="209" spans="1:26" ht="27" customHeight="1" outlineLevel="1">
      <c r="A209" s="143" t="s">
        <v>741</v>
      </c>
      <c r="B209" s="143" t="s">
        <v>198</v>
      </c>
      <c r="C209" s="163" t="s">
        <v>355</v>
      </c>
      <c r="D209" s="263">
        <v>6000</v>
      </c>
      <c r="E209" s="263">
        <v>6000</v>
      </c>
      <c r="F209" s="263">
        <v>6000</v>
      </c>
      <c r="G209" s="263">
        <v>6000</v>
      </c>
      <c r="H209" s="263">
        <v>6000</v>
      </c>
      <c r="I209" s="263">
        <v>6000</v>
      </c>
      <c r="J209" s="263">
        <v>6000</v>
      </c>
      <c r="K209" s="263">
        <v>6000</v>
      </c>
      <c r="L209" s="263">
        <v>6000</v>
      </c>
      <c r="M209" s="263">
        <v>6000</v>
      </c>
      <c r="N209" s="263">
        <v>6000</v>
      </c>
      <c r="O209" s="263">
        <v>6000</v>
      </c>
      <c r="P209" s="262">
        <f t="shared" si="90"/>
        <v>18000</v>
      </c>
      <c r="Q209" s="262">
        <f t="shared" si="92"/>
        <v>18000</v>
      </c>
      <c r="R209" s="262">
        <f t="shared" si="93"/>
        <v>18000</v>
      </c>
      <c r="S209" s="262">
        <f t="shared" si="94"/>
        <v>18000</v>
      </c>
      <c r="T209" s="262">
        <f t="shared" si="91"/>
        <v>72000</v>
      </c>
    </row>
    <row r="210" spans="1:26" ht="27" customHeight="1" outlineLevel="1">
      <c r="A210" s="143" t="s">
        <v>742</v>
      </c>
      <c r="B210" s="143" t="s">
        <v>743</v>
      </c>
      <c r="C210" s="163" t="s">
        <v>355</v>
      </c>
      <c r="D210" s="263">
        <v>3500</v>
      </c>
      <c r="E210" s="263">
        <v>3500</v>
      </c>
      <c r="F210" s="263">
        <v>3500</v>
      </c>
      <c r="G210" s="263">
        <v>3500</v>
      </c>
      <c r="H210" s="263">
        <v>3500</v>
      </c>
      <c r="I210" s="263">
        <v>3500</v>
      </c>
      <c r="J210" s="263">
        <v>3500</v>
      </c>
      <c r="K210" s="263">
        <v>3500</v>
      </c>
      <c r="L210" s="263">
        <v>3500</v>
      </c>
      <c r="M210" s="263">
        <v>3500</v>
      </c>
      <c r="N210" s="263">
        <v>3500</v>
      </c>
      <c r="O210" s="263">
        <v>3500</v>
      </c>
      <c r="P210" s="262">
        <f t="shared" si="90"/>
        <v>10500</v>
      </c>
      <c r="Q210" s="262">
        <f t="shared" si="92"/>
        <v>10500</v>
      </c>
      <c r="R210" s="262">
        <f t="shared" si="93"/>
        <v>10500</v>
      </c>
      <c r="S210" s="262">
        <f t="shared" si="94"/>
        <v>10500</v>
      </c>
      <c r="T210" s="262">
        <f t="shared" si="91"/>
        <v>42000</v>
      </c>
    </row>
    <row r="211" spans="1:26" ht="27" customHeight="1" outlineLevel="1">
      <c r="A211" s="143" t="s">
        <v>744</v>
      </c>
      <c r="B211" s="143" t="s">
        <v>745</v>
      </c>
      <c r="C211" s="163" t="s">
        <v>355</v>
      </c>
      <c r="D211" s="263">
        <v>1500</v>
      </c>
      <c r="E211" s="263">
        <v>1500</v>
      </c>
      <c r="F211" s="263">
        <v>1500</v>
      </c>
      <c r="G211" s="263">
        <v>1500</v>
      </c>
      <c r="H211" s="263">
        <v>1500</v>
      </c>
      <c r="I211" s="263">
        <v>1500</v>
      </c>
      <c r="J211" s="263">
        <v>1500</v>
      </c>
      <c r="K211" s="263">
        <v>1500</v>
      </c>
      <c r="L211" s="263">
        <v>1500</v>
      </c>
      <c r="M211" s="263">
        <v>1500</v>
      </c>
      <c r="N211" s="263">
        <v>1500</v>
      </c>
      <c r="O211" s="263">
        <v>1500</v>
      </c>
      <c r="P211" s="262">
        <f t="shared" si="90"/>
        <v>4500</v>
      </c>
      <c r="Q211" s="262">
        <f t="shared" si="92"/>
        <v>4500</v>
      </c>
      <c r="R211" s="262">
        <f t="shared" si="93"/>
        <v>4500</v>
      </c>
      <c r="S211" s="262">
        <f t="shared" si="94"/>
        <v>4500</v>
      </c>
      <c r="T211" s="262">
        <f t="shared" si="91"/>
        <v>18000</v>
      </c>
    </row>
    <row r="212" spans="1:26" ht="27" customHeight="1" outlineLevel="1">
      <c r="A212" s="143" t="s">
        <v>746</v>
      </c>
      <c r="B212" s="143"/>
      <c r="C212" s="163"/>
      <c r="D212" s="263" t="s">
        <v>358</v>
      </c>
      <c r="E212" s="264" t="s">
        <v>358</v>
      </c>
      <c r="F212" s="264" t="s">
        <v>358</v>
      </c>
      <c r="G212" s="264" t="s">
        <v>358</v>
      </c>
      <c r="H212" s="264" t="s">
        <v>358</v>
      </c>
      <c r="I212" s="264" t="s">
        <v>358</v>
      </c>
      <c r="J212" s="264" t="s">
        <v>358</v>
      </c>
      <c r="K212" s="264" t="s">
        <v>358</v>
      </c>
      <c r="L212" s="264" t="s">
        <v>358</v>
      </c>
      <c r="M212" s="264" t="s">
        <v>358</v>
      </c>
      <c r="N212" s="264" t="s">
        <v>358</v>
      </c>
      <c r="O212" s="264" t="s">
        <v>358</v>
      </c>
      <c r="P212" s="262">
        <f t="shared" si="90"/>
        <v>0</v>
      </c>
      <c r="Q212" s="262">
        <f t="shared" si="92"/>
        <v>0</v>
      </c>
      <c r="R212" s="262">
        <f t="shared" si="93"/>
        <v>0</v>
      </c>
      <c r="S212" s="262">
        <f t="shared" si="94"/>
        <v>0</v>
      </c>
      <c r="T212" s="262">
        <f t="shared" si="91"/>
        <v>0</v>
      </c>
    </row>
    <row r="213" spans="1:26" s="139" customFormat="1" ht="27" customHeight="1">
      <c r="A213" s="160"/>
      <c r="B213" s="161" t="s">
        <v>208</v>
      </c>
      <c r="C213" s="162"/>
      <c r="D213" s="234">
        <f t="shared" ref="D213:O213" si="95">SUM(D193:D212)</f>
        <v>794330</v>
      </c>
      <c r="E213" s="234">
        <f t="shared" si="95"/>
        <v>794330</v>
      </c>
      <c r="F213" s="234">
        <f t="shared" si="95"/>
        <v>794350</v>
      </c>
      <c r="G213" s="234">
        <f t="shared" si="95"/>
        <v>794330</v>
      </c>
      <c r="H213" s="234">
        <f t="shared" si="95"/>
        <v>794330</v>
      </c>
      <c r="I213" s="234">
        <f t="shared" si="95"/>
        <v>794330</v>
      </c>
      <c r="J213" s="234">
        <f t="shared" si="95"/>
        <v>794330</v>
      </c>
      <c r="K213" s="234">
        <f t="shared" si="95"/>
        <v>794330</v>
      </c>
      <c r="L213" s="234">
        <f t="shared" si="95"/>
        <v>794330</v>
      </c>
      <c r="M213" s="234">
        <f t="shared" si="95"/>
        <v>794330</v>
      </c>
      <c r="N213" s="234">
        <f t="shared" si="95"/>
        <v>794330</v>
      </c>
      <c r="O213" s="234">
        <f t="shared" si="95"/>
        <v>794330</v>
      </c>
      <c r="P213" s="234">
        <f t="shared" si="90"/>
        <v>2383010</v>
      </c>
      <c r="Q213" s="234">
        <f t="shared" ref="Q213" si="96">SUM(G213:I213)</f>
        <v>2382990</v>
      </c>
      <c r="R213" s="234">
        <f t="shared" ref="R213" si="97">SUM(J213:L213)</f>
        <v>2382990</v>
      </c>
      <c r="S213" s="234">
        <f t="shared" ref="S213" si="98">SUM(M213:O213)</f>
        <v>2382990</v>
      </c>
      <c r="T213" s="234">
        <f>SUM(T193:T212)</f>
        <v>9531980</v>
      </c>
      <c r="U213" s="419">
        <f>T213/$T$315</f>
        <v>4.4833296870609753E-2</v>
      </c>
      <c r="V213" s="227"/>
    </row>
    <row r="214" spans="1:26" s="139" customFormat="1" ht="27" customHeight="1">
      <c r="A214" s="158" t="s">
        <v>747</v>
      </c>
      <c r="B214" s="159" t="s">
        <v>748</v>
      </c>
      <c r="C214" s="159" t="s">
        <v>335</v>
      </c>
      <c r="D214" s="202" t="s">
        <v>336</v>
      </c>
      <c r="E214" s="202" t="s">
        <v>337</v>
      </c>
      <c r="F214" s="202" t="s">
        <v>338</v>
      </c>
      <c r="G214" s="202" t="s">
        <v>339</v>
      </c>
      <c r="H214" s="202" t="s">
        <v>340</v>
      </c>
      <c r="I214" s="202" t="s">
        <v>341</v>
      </c>
      <c r="J214" s="202" t="s">
        <v>342</v>
      </c>
      <c r="K214" s="202" t="s">
        <v>343</v>
      </c>
      <c r="L214" s="202" t="s">
        <v>344</v>
      </c>
      <c r="M214" s="202" t="s">
        <v>345</v>
      </c>
      <c r="N214" s="202" t="s">
        <v>346</v>
      </c>
      <c r="O214" s="202" t="s">
        <v>347</v>
      </c>
      <c r="P214" s="202" t="s">
        <v>348</v>
      </c>
      <c r="Q214" s="202" t="s">
        <v>349</v>
      </c>
      <c r="R214" s="202" t="s">
        <v>350</v>
      </c>
      <c r="S214" s="202" t="s">
        <v>351</v>
      </c>
      <c r="T214" s="202" t="s">
        <v>352</v>
      </c>
      <c r="V214" s="227"/>
    </row>
    <row r="215" spans="1:26" ht="27" customHeight="1" outlineLevel="1">
      <c r="A215" s="143" t="s">
        <v>749</v>
      </c>
      <c r="B215" s="145" t="s">
        <v>750</v>
      </c>
      <c r="C215" s="163" t="s">
        <v>355</v>
      </c>
      <c r="D215" s="266"/>
      <c r="E215" s="267" t="s">
        <v>358</v>
      </c>
      <c r="F215" s="267" t="s">
        <v>358</v>
      </c>
      <c r="G215" s="267" t="s">
        <v>358</v>
      </c>
      <c r="H215" s="267" t="s">
        <v>358</v>
      </c>
      <c r="I215" s="267" t="s">
        <v>358</v>
      </c>
      <c r="J215" s="267" t="s">
        <v>358</v>
      </c>
      <c r="K215" s="267" t="s">
        <v>358</v>
      </c>
      <c r="L215" s="267" t="s">
        <v>358</v>
      </c>
      <c r="M215" s="267" t="s">
        <v>358</v>
      </c>
      <c r="N215" s="267" t="s">
        <v>358</v>
      </c>
      <c r="O215" s="267" t="s">
        <v>358</v>
      </c>
      <c r="P215" s="262">
        <f t="shared" ref="P215:P229" si="99">SUM(D215:F215)</f>
        <v>0</v>
      </c>
      <c r="Q215" s="262">
        <f>SUM(G215:I215)</f>
        <v>0</v>
      </c>
      <c r="R215" s="262">
        <f>SUM(J215:L215)</f>
        <v>0</v>
      </c>
      <c r="S215" s="262">
        <f>SUM(M215:O215)</f>
        <v>0</v>
      </c>
      <c r="T215" s="262">
        <f t="shared" ref="T215:T228" si="100">SUM(D215:O215)</f>
        <v>0</v>
      </c>
      <c r="U215" s="144"/>
      <c r="V215" s="311"/>
      <c r="W215" s="144"/>
      <c r="X215" s="144"/>
      <c r="Y215" s="144"/>
      <c r="Z215" s="144"/>
    </row>
    <row r="216" spans="1:26" ht="27" customHeight="1" outlineLevel="1">
      <c r="A216" s="143" t="s">
        <v>751</v>
      </c>
      <c r="B216" s="143" t="s">
        <v>202</v>
      </c>
      <c r="C216" s="163" t="s">
        <v>355</v>
      </c>
      <c r="D216" s="376">
        <v>34000</v>
      </c>
      <c r="E216" s="376">
        <v>34000</v>
      </c>
      <c r="F216" s="376">
        <v>34000</v>
      </c>
      <c r="G216" s="376">
        <v>34000</v>
      </c>
      <c r="H216" s="376">
        <v>34000</v>
      </c>
      <c r="I216" s="376">
        <v>34000</v>
      </c>
      <c r="J216" s="376">
        <v>34000</v>
      </c>
      <c r="K216" s="376">
        <v>34000</v>
      </c>
      <c r="L216" s="376">
        <v>34000</v>
      </c>
      <c r="M216" s="376">
        <v>34000</v>
      </c>
      <c r="N216" s="376">
        <v>34000</v>
      </c>
      <c r="O216" s="376">
        <v>34000</v>
      </c>
      <c r="P216" s="262">
        <f t="shared" si="99"/>
        <v>102000</v>
      </c>
      <c r="Q216" s="262">
        <f t="shared" ref="Q216:Q228" si="101">SUM(G216:I216)</f>
        <v>102000</v>
      </c>
      <c r="R216" s="262">
        <f t="shared" ref="R216:R228" si="102">SUM(J216:L216)</f>
        <v>102000</v>
      </c>
      <c r="S216" s="262">
        <f t="shared" ref="S216:S228" si="103">SUM(M216:O216)</f>
        <v>102000</v>
      </c>
      <c r="T216" s="262">
        <f t="shared" si="100"/>
        <v>408000</v>
      </c>
      <c r="U216" s="144"/>
      <c r="V216" s="311"/>
      <c r="W216" s="144"/>
      <c r="X216" s="144"/>
      <c r="Y216" s="144"/>
      <c r="Z216" s="144"/>
    </row>
    <row r="217" spans="1:26" ht="27" customHeight="1" outlineLevel="1">
      <c r="A217" s="143" t="s">
        <v>752</v>
      </c>
      <c r="B217" s="143" t="s">
        <v>203</v>
      </c>
      <c r="C217" s="163" t="s">
        <v>355</v>
      </c>
      <c r="D217" s="376">
        <v>375000</v>
      </c>
      <c r="E217" s="376">
        <v>375000</v>
      </c>
      <c r="F217" s="376">
        <v>375000</v>
      </c>
      <c r="G217" s="376">
        <v>375000</v>
      </c>
      <c r="H217" s="376">
        <v>375000</v>
      </c>
      <c r="I217" s="376">
        <v>375000</v>
      </c>
      <c r="J217" s="376">
        <v>375000</v>
      </c>
      <c r="K217" s="376">
        <v>375000</v>
      </c>
      <c r="L217" s="376">
        <v>375000</v>
      </c>
      <c r="M217" s="376">
        <v>375000</v>
      </c>
      <c r="N217" s="376">
        <v>375000</v>
      </c>
      <c r="O217" s="376">
        <v>375000</v>
      </c>
      <c r="P217" s="262">
        <f t="shared" si="99"/>
        <v>1125000</v>
      </c>
      <c r="Q217" s="262">
        <f t="shared" si="101"/>
        <v>1125000</v>
      </c>
      <c r="R217" s="262">
        <f t="shared" si="102"/>
        <v>1125000</v>
      </c>
      <c r="S217" s="262">
        <f t="shared" si="103"/>
        <v>1125000</v>
      </c>
      <c r="T217" s="262">
        <f t="shared" si="100"/>
        <v>4500000</v>
      </c>
      <c r="U217" s="144"/>
      <c r="V217" s="311"/>
      <c r="W217" s="144"/>
      <c r="X217" s="144"/>
      <c r="Y217" s="144"/>
      <c r="Z217" s="144"/>
    </row>
    <row r="218" spans="1:26" ht="27" customHeight="1" outlineLevel="1">
      <c r="A218" s="143" t="s">
        <v>753</v>
      </c>
      <c r="B218" s="145" t="s">
        <v>204</v>
      </c>
      <c r="C218" s="163" t="s">
        <v>355</v>
      </c>
      <c r="D218" s="376" t="s">
        <v>358</v>
      </c>
      <c r="E218" s="264" t="s">
        <v>358</v>
      </c>
      <c r="F218" s="264" t="s">
        <v>358</v>
      </c>
      <c r="G218" s="264" t="s">
        <v>358</v>
      </c>
      <c r="H218" s="264" t="s">
        <v>358</v>
      </c>
      <c r="I218" s="264" t="s">
        <v>358</v>
      </c>
      <c r="J218" s="264" t="s">
        <v>358</v>
      </c>
      <c r="K218" s="264" t="s">
        <v>358</v>
      </c>
      <c r="L218" s="264" t="s">
        <v>358</v>
      </c>
      <c r="M218" s="264" t="s">
        <v>358</v>
      </c>
      <c r="N218" s="264" t="s">
        <v>358</v>
      </c>
      <c r="O218" s="264" t="s">
        <v>358</v>
      </c>
      <c r="P218" s="262">
        <f t="shared" si="99"/>
        <v>0</v>
      </c>
      <c r="Q218" s="262">
        <f t="shared" si="101"/>
        <v>0</v>
      </c>
      <c r="R218" s="262">
        <f t="shared" si="102"/>
        <v>0</v>
      </c>
      <c r="S218" s="262">
        <f t="shared" si="103"/>
        <v>0</v>
      </c>
      <c r="T218" s="262">
        <f t="shared" si="100"/>
        <v>0</v>
      </c>
      <c r="U218" s="144"/>
      <c r="V218" s="311"/>
      <c r="W218" s="144"/>
      <c r="X218" s="144"/>
      <c r="Y218" s="144"/>
      <c r="Z218" s="144"/>
    </row>
    <row r="219" spans="1:26" ht="27" customHeight="1" outlineLevel="1">
      <c r="A219" s="143" t="s">
        <v>754</v>
      </c>
      <c r="B219" s="145" t="s">
        <v>755</v>
      </c>
      <c r="C219" s="163" t="s">
        <v>355</v>
      </c>
      <c r="D219" s="376" t="s">
        <v>358</v>
      </c>
      <c r="E219" s="264" t="s">
        <v>358</v>
      </c>
      <c r="F219" s="264" t="s">
        <v>358</v>
      </c>
      <c r="G219" s="264" t="s">
        <v>358</v>
      </c>
      <c r="H219" s="264" t="s">
        <v>358</v>
      </c>
      <c r="I219" s="264" t="s">
        <v>358</v>
      </c>
      <c r="J219" s="264" t="s">
        <v>358</v>
      </c>
      <c r="K219" s="264" t="s">
        <v>358</v>
      </c>
      <c r="L219" s="264" t="s">
        <v>358</v>
      </c>
      <c r="M219" s="264" t="s">
        <v>358</v>
      </c>
      <c r="N219" s="264" t="s">
        <v>358</v>
      </c>
      <c r="O219" s="264" t="s">
        <v>358</v>
      </c>
      <c r="P219" s="262">
        <f t="shared" si="99"/>
        <v>0</v>
      </c>
      <c r="Q219" s="262">
        <f t="shared" si="101"/>
        <v>0</v>
      </c>
      <c r="R219" s="262">
        <f t="shared" si="102"/>
        <v>0</v>
      </c>
      <c r="S219" s="262">
        <f t="shared" si="103"/>
        <v>0</v>
      </c>
      <c r="T219" s="262">
        <f t="shared" si="100"/>
        <v>0</v>
      </c>
      <c r="U219" s="144"/>
      <c r="V219" s="311"/>
      <c r="W219" s="144"/>
      <c r="X219" s="144"/>
      <c r="Y219" s="144"/>
      <c r="Z219" s="144"/>
    </row>
    <row r="220" spans="1:26" ht="27" customHeight="1" outlineLevel="1">
      <c r="A220" s="143" t="s">
        <v>756</v>
      </c>
      <c r="B220" s="143" t="s">
        <v>757</v>
      </c>
      <c r="C220" s="163" t="s">
        <v>355</v>
      </c>
      <c r="D220" s="376">
        <v>550000</v>
      </c>
      <c r="E220" s="376">
        <v>550000</v>
      </c>
      <c r="F220" s="376">
        <v>550000</v>
      </c>
      <c r="G220" s="376">
        <v>550000</v>
      </c>
      <c r="H220" s="376">
        <v>550000</v>
      </c>
      <c r="I220" s="376">
        <v>550000</v>
      </c>
      <c r="J220" s="376">
        <v>550000</v>
      </c>
      <c r="K220" s="376">
        <v>550000</v>
      </c>
      <c r="L220" s="376">
        <v>550000</v>
      </c>
      <c r="M220" s="376">
        <v>550000</v>
      </c>
      <c r="N220" s="376">
        <v>550000</v>
      </c>
      <c r="O220" s="376">
        <v>550000</v>
      </c>
      <c r="P220" s="262">
        <f t="shared" si="99"/>
        <v>1650000</v>
      </c>
      <c r="Q220" s="262">
        <f t="shared" si="101"/>
        <v>1650000</v>
      </c>
      <c r="R220" s="262">
        <f t="shared" si="102"/>
        <v>1650000</v>
      </c>
      <c r="S220" s="262">
        <f t="shared" si="103"/>
        <v>1650000</v>
      </c>
      <c r="T220" s="262">
        <f t="shared" si="100"/>
        <v>6600000</v>
      </c>
      <c r="U220" s="144"/>
      <c r="V220" s="311"/>
      <c r="W220" s="144"/>
      <c r="X220" s="144"/>
      <c r="Y220" s="144"/>
      <c r="Z220" s="144"/>
    </row>
    <row r="221" spans="1:26" ht="27" customHeight="1" outlineLevel="1">
      <c r="A221" s="143" t="s">
        <v>758</v>
      </c>
      <c r="B221" s="145" t="s">
        <v>205</v>
      </c>
      <c r="C221" s="163" t="s">
        <v>355</v>
      </c>
      <c r="D221" s="376">
        <v>220000</v>
      </c>
      <c r="E221" s="376">
        <v>220000</v>
      </c>
      <c r="F221" s="376">
        <v>220000</v>
      </c>
      <c r="G221" s="376">
        <v>220000</v>
      </c>
      <c r="H221" s="376">
        <v>220000</v>
      </c>
      <c r="I221" s="376">
        <v>220000</v>
      </c>
      <c r="J221" s="376">
        <v>220000</v>
      </c>
      <c r="K221" s="376">
        <v>220000</v>
      </c>
      <c r="L221" s="376">
        <v>220000</v>
      </c>
      <c r="M221" s="376">
        <v>220000</v>
      </c>
      <c r="N221" s="376">
        <v>220000</v>
      </c>
      <c r="O221" s="376">
        <v>220000</v>
      </c>
      <c r="P221" s="262">
        <f t="shared" si="99"/>
        <v>660000</v>
      </c>
      <c r="Q221" s="262">
        <f t="shared" si="101"/>
        <v>660000</v>
      </c>
      <c r="R221" s="262">
        <f t="shared" si="102"/>
        <v>660000</v>
      </c>
      <c r="S221" s="262">
        <f t="shared" si="103"/>
        <v>660000</v>
      </c>
      <c r="T221" s="262">
        <f t="shared" si="100"/>
        <v>2640000</v>
      </c>
      <c r="U221" s="144"/>
      <c r="V221" s="311"/>
      <c r="W221" s="144"/>
      <c r="X221" s="144"/>
      <c r="Y221" s="144"/>
      <c r="Z221" s="144"/>
    </row>
    <row r="222" spans="1:26" ht="27" customHeight="1" outlineLevel="1">
      <c r="A222" s="143" t="s">
        <v>759</v>
      </c>
      <c r="B222" s="143" t="s">
        <v>760</v>
      </c>
      <c r="C222" s="163" t="s">
        <v>355</v>
      </c>
      <c r="D222" s="376">
        <v>700000</v>
      </c>
      <c r="E222" s="376">
        <v>700000</v>
      </c>
      <c r="F222" s="376">
        <v>700000</v>
      </c>
      <c r="G222" s="376">
        <v>700000</v>
      </c>
      <c r="H222" s="376">
        <v>700000</v>
      </c>
      <c r="I222" s="376">
        <v>700000</v>
      </c>
      <c r="J222" s="376">
        <v>700000</v>
      </c>
      <c r="K222" s="376">
        <v>700000</v>
      </c>
      <c r="L222" s="376">
        <v>700000</v>
      </c>
      <c r="M222" s="376">
        <v>700000</v>
      </c>
      <c r="N222" s="376">
        <v>700000</v>
      </c>
      <c r="O222" s="376">
        <v>700000</v>
      </c>
      <c r="P222" s="262">
        <f t="shared" si="99"/>
        <v>2100000</v>
      </c>
      <c r="Q222" s="262">
        <f t="shared" si="101"/>
        <v>2100000</v>
      </c>
      <c r="R222" s="262">
        <f t="shared" si="102"/>
        <v>2100000</v>
      </c>
      <c r="S222" s="262">
        <f t="shared" si="103"/>
        <v>2100000</v>
      </c>
      <c r="T222" s="262">
        <f t="shared" si="100"/>
        <v>8400000</v>
      </c>
      <c r="U222" s="144"/>
      <c r="V222" s="311"/>
      <c r="W222" s="144"/>
      <c r="X222" s="144"/>
      <c r="Y222" s="144"/>
      <c r="Z222" s="144"/>
    </row>
    <row r="223" spans="1:26" ht="27" customHeight="1" outlineLevel="1">
      <c r="A223" s="143" t="s">
        <v>761</v>
      </c>
      <c r="B223" s="145" t="s">
        <v>206</v>
      </c>
      <c r="C223" s="163" t="s">
        <v>355</v>
      </c>
      <c r="D223" s="263">
        <v>140000</v>
      </c>
      <c r="E223" s="263">
        <v>140000</v>
      </c>
      <c r="F223" s="263">
        <v>140000</v>
      </c>
      <c r="G223" s="263">
        <v>140000</v>
      </c>
      <c r="H223" s="263">
        <v>140000</v>
      </c>
      <c r="I223" s="263">
        <v>140000</v>
      </c>
      <c r="J223" s="263">
        <v>140000</v>
      </c>
      <c r="K223" s="263">
        <v>140000</v>
      </c>
      <c r="L223" s="263">
        <v>140000</v>
      </c>
      <c r="M223" s="263">
        <v>140000</v>
      </c>
      <c r="N223" s="263">
        <v>140000</v>
      </c>
      <c r="O223" s="263">
        <v>140000</v>
      </c>
      <c r="P223" s="262">
        <f t="shared" si="99"/>
        <v>420000</v>
      </c>
      <c r="Q223" s="262">
        <f t="shared" si="101"/>
        <v>420000</v>
      </c>
      <c r="R223" s="262">
        <f t="shared" si="102"/>
        <v>420000</v>
      </c>
      <c r="S223" s="262">
        <f t="shared" si="103"/>
        <v>420000</v>
      </c>
      <c r="T223" s="262">
        <f t="shared" si="100"/>
        <v>1680000</v>
      </c>
      <c r="U223" s="144"/>
      <c r="V223" s="311"/>
      <c r="W223" s="144"/>
      <c r="X223" s="144"/>
      <c r="Y223" s="144"/>
      <c r="Z223" s="144"/>
    </row>
    <row r="224" spans="1:26" ht="27" customHeight="1" outlineLevel="1">
      <c r="A224" s="143" t="s">
        <v>762</v>
      </c>
      <c r="B224" s="145" t="s">
        <v>763</v>
      </c>
      <c r="C224" s="163" t="s">
        <v>355</v>
      </c>
      <c r="D224" s="263" t="s">
        <v>358</v>
      </c>
      <c r="E224" s="264" t="s">
        <v>358</v>
      </c>
      <c r="F224" s="261" t="s">
        <v>358</v>
      </c>
      <c r="G224" s="264" t="s">
        <v>358</v>
      </c>
      <c r="H224" s="264" t="s">
        <v>358</v>
      </c>
      <c r="I224" s="264" t="s">
        <v>358</v>
      </c>
      <c r="J224" s="264" t="s">
        <v>358</v>
      </c>
      <c r="K224" s="264" t="s">
        <v>358</v>
      </c>
      <c r="L224" s="264" t="s">
        <v>358</v>
      </c>
      <c r="M224" s="264" t="s">
        <v>358</v>
      </c>
      <c r="N224" s="264" t="s">
        <v>358</v>
      </c>
      <c r="O224" s="264" t="s">
        <v>358</v>
      </c>
      <c r="P224" s="262">
        <f t="shared" si="99"/>
        <v>0</v>
      </c>
      <c r="Q224" s="262">
        <f t="shared" si="101"/>
        <v>0</v>
      </c>
      <c r="R224" s="262">
        <f t="shared" si="102"/>
        <v>0</v>
      </c>
      <c r="S224" s="262">
        <f t="shared" si="103"/>
        <v>0</v>
      </c>
      <c r="T224" s="262">
        <f t="shared" si="100"/>
        <v>0</v>
      </c>
      <c r="U224" s="144"/>
      <c r="V224" s="311"/>
      <c r="W224" s="144"/>
      <c r="X224" s="144"/>
      <c r="Y224" s="144"/>
      <c r="Z224" s="144"/>
    </row>
    <row r="225" spans="1:23" ht="27" customHeight="1" outlineLevel="1">
      <c r="A225" s="143" t="s">
        <v>764</v>
      </c>
      <c r="B225" s="145"/>
      <c r="C225" s="163"/>
      <c r="D225" s="265"/>
      <c r="E225" s="265"/>
      <c r="F225" s="265"/>
      <c r="G225" s="261"/>
      <c r="H225" s="261"/>
      <c r="I225" s="261"/>
      <c r="J225" s="261"/>
      <c r="K225" s="261"/>
      <c r="L225" s="261"/>
      <c r="M225" s="261"/>
      <c r="N225" s="261"/>
      <c r="O225" s="261"/>
      <c r="P225" s="262">
        <f t="shared" si="99"/>
        <v>0</v>
      </c>
      <c r="Q225" s="262">
        <f t="shared" si="101"/>
        <v>0</v>
      </c>
      <c r="R225" s="262">
        <f t="shared" si="102"/>
        <v>0</v>
      </c>
      <c r="S225" s="262">
        <f t="shared" si="103"/>
        <v>0</v>
      </c>
      <c r="T225" s="262">
        <f t="shared" si="100"/>
        <v>0</v>
      </c>
    </row>
    <row r="226" spans="1:23" ht="27" customHeight="1" outlineLevel="1">
      <c r="A226" s="143" t="s">
        <v>765</v>
      </c>
      <c r="B226" s="145"/>
      <c r="C226" s="163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62">
        <f t="shared" si="99"/>
        <v>0</v>
      </c>
      <c r="Q226" s="262">
        <f t="shared" si="101"/>
        <v>0</v>
      </c>
      <c r="R226" s="262">
        <f t="shared" si="102"/>
        <v>0</v>
      </c>
      <c r="S226" s="262">
        <f t="shared" si="103"/>
        <v>0</v>
      </c>
      <c r="T226" s="262">
        <f t="shared" si="100"/>
        <v>0</v>
      </c>
    </row>
    <row r="227" spans="1:23" ht="27" customHeight="1" outlineLevel="1">
      <c r="A227" s="143" t="s">
        <v>766</v>
      </c>
      <c r="B227" s="145"/>
      <c r="C227" s="163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62">
        <f t="shared" si="99"/>
        <v>0</v>
      </c>
      <c r="Q227" s="262">
        <f t="shared" si="101"/>
        <v>0</v>
      </c>
      <c r="R227" s="262">
        <f t="shared" si="102"/>
        <v>0</v>
      </c>
      <c r="S227" s="262">
        <f t="shared" si="103"/>
        <v>0</v>
      </c>
      <c r="T227" s="262">
        <f t="shared" si="100"/>
        <v>0</v>
      </c>
    </row>
    <row r="228" spans="1:23" ht="27" customHeight="1" outlineLevel="1">
      <c r="A228" s="143" t="s">
        <v>767</v>
      </c>
      <c r="B228" s="145"/>
      <c r="C228" s="163"/>
      <c r="D228" s="237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62">
        <f t="shared" si="99"/>
        <v>0</v>
      </c>
      <c r="Q228" s="262">
        <f t="shared" si="101"/>
        <v>0</v>
      </c>
      <c r="R228" s="262">
        <f t="shared" si="102"/>
        <v>0</v>
      </c>
      <c r="S228" s="262">
        <f t="shared" si="103"/>
        <v>0</v>
      </c>
      <c r="T228" s="262">
        <f t="shared" si="100"/>
        <v>0</v>
      </c>
    </row>
    <row r="229" spans="1:23" s="139" customFormat="1" ht="27" customHeight="1">
      <c r="A229" s="160"/>
      <c r="B229" s="161" t="s">
        <v>216</v>
      </c>
      <c r="C229" s="162"/>
      <c r="D229" s="234">
        <f t="shared" ref="D229:O229" si="104">SUM(D215:D228)</f>
        <v>2019000</v>
      </c>
      <c r="E229" s="234">
        <f t="shared" si="104"/>
        <v>2019000</v>
      </c>
      <c r="F229" s="234">
        <f t="shared" si="104"/>
        <v>2019000</v>
      </c>
      <c r="G229" s="234">
        <f t="shared" si="104"/>
        <v>2019000</v>
      </c>
      <c r="H229" s="234">
        <f t="shared" si="104"/>
        <v>2019000</v>
      </c>
      <c r="I229" s="234">
        <f t="shared" si="104"/>
        <v>2019000</v>
      </c>
      <c r="J229" s="234">
        <f t="shared" si="104"/>
        <v>2019000</v>
      </c>
      <c r="K229" s="234">
        <f t="shared" si="104"/>
        <v>2019000</v>
      </c>
      <c r="L229" s="234">
        <f>SUM(L215:L228)</f>
        <v>2019000</v>
      </c>
      <c r="M229" s="234">
        <f t="shared" si="104"/>
        <v>2019000</v>
      </c>
      <c r="N229" s="234">
        <f t="shared" si="104"/>
        <v>2019000</v>
      </c>
      <c r="O229" s="234">
        <f t="shared" si="104"/>
        <v>2019000</v>
      </c>
      <c r="P229" s="234">
        <f t="shared" si="99"/>
        <v>6057000</v>
      </c>
      <c r="Q229" s="234">
        <f t="shared" ref="Q229" si="105">SUM(G229:I229)</f>
        <v>6057000</v>
      </c>
      <c r="R229" s="234">
        <f t="shared" ref="R229" si="106">SUM(J229:L229)</f>
        <v>6057000</v>
      </c>
      <c r="S229" s="234">
        <f t="shared" ref="S229" si="107">SUM(M229:O229)</f>
        <v>6057000</v>
      </c>
      <c r="T229" s="234">
        <f>SUM(T215:T228)</f>
        <v>24228000</v>
      </c>
      <c r="U229" s="419">
        <f>T229/$T$315</f>
        <v>0.11395545485629775</v>
      </c>
      <c r="V229" s="227"/>
    </row>
    <row r="230" spans="1:23" s="227" customFormat="1" ht="27" customHeight="1">
      <c r="A230" s="158" t="s">
        <v>768</v>
      </c>
      <c r="B230" s="159" t="s">
        <v>769</v>
      </c>
      <c r="C230" s="159" t="s">
        <v>335</v>
      </c>
      <c r="D230" s="202" t="s">
        <v>336</v>
      </c>
      <c r="E230" s="202" t="s">
        <v>337</v>
      </c>
      <c r="F230" s="202" t="s">
        <v>338</v>
      </c>
      <c r="G230" s="202" t="s">
        <v>339</v>
      </c>
      <c r="H230" s="202" t="s">
        <v>340</v>
      </c>
      <c r="I230" s="202" t="s">
        <v>341</v>
      </c>
      <c r="J230" s="202" t="s">
        <v>342</v>
      </c>
      <c r="K230" s="202" t="s">
        <v>343</v>
      </c>
      <c r="L230" s="202" t="s">
        <v>344</v>
      </c>
      <c r="M230" s="202" t="s">
        <v>345</v>
      </c>
      <c r="N230" s="202" t="s">
        <v>346</v>
      </c>
      <c r="O230" s="202" t="s">
        <v>347</v>
      </c>
      <c r="P230" s="202" t="s">
        <v>348</v>
      </c>
      <c r="Q230" s="202" t="s">
        <v>349</v>
      </c>
      <c r="R230" s="202" t="s">
        <v>350</v>
      </c>
      <c r="S230" s="202" t="s">
        <v>351</v>
      </c>
      <c r="T230" s="202" t="s">
        <v>352</v>
      </c>
    </row>
    <row r="231" spans="1:23" s="351" customFormat="1" ht="27" hidden="1" customHeight="1" outlineLevel="1">
      <c r="A231" s="143" t="s">
        <v>770</v>
      </c>
      <c r="B231" s="383" t="s">
        <v>771</v>
      </c>
      <c r="C231" s="203" t="s">
        <v>772</v>
      </c>
      <c r="D231" s="398">
        <v>0</v>
      </c>
      <c r="E231" s="262">
        <v>0</v>
      </c>
      <c r="F231" s="262">
        <v>800000</v>
      </c>
      <c r="G231" s="262">
        <v>0</v>
      </c>
      <c r="H231" s="262">
        <v>0</v>
      </c>
      <c r="I231" s="262">
        <v>0</v>
      </c>
      <c r="J231" s="262">
        <v>583000</v>
      </c>
      <c r="K231" s="262">
        <v>583000</v>
      </c>
      <c r="L231" s="262">
        <v>583000</v>
      </c>
      <c r="M231" s="262">
        <v>583000</v>
      </c>
      <c r="N231" s="262">
        <v>583000</v>
      </c>
      <c r="O231" s="262">
        <v>583000</v>
      </c>
      <c r="P231" s="262">
        <f t="shared" ref="P231:P294" si="108">SUM(D231:F231)</f>
        <v>800000</v>
      </c>
      <c r="Q231" s="262">
        <f>SUM(G231:I231)</f>
        <v>0</v>
      </c>
      <c r="R231" s="262">
        <f>SUM(J231:L231)</f>
        <v>1749000</v>
      </c>
      <c r="S231" s="262">
        <f>SUM(M231:O231)</f>
        <v>1749000</v>
      </c>
      <c r="T231" s="262">
        <f t="shared" ref="T231:T251" si="109">SUM(D231:O231)</f>
        <v>4298000</v>
      </c>
      <c r="U231" s="399"/>
      <c r="V231" s="400"/>
      <c r="W231" s="144"/>
    </row>
    <row r="232" spans="1:23" s="351" customFormat="1" ht="27" hidden="1" customHeight="1" outlineLevel="1">
      <c r="A232" s="143" t="s">
        <v>773</v>
      </c>
      <c r="B232" s="383" t="s">
        <v>774</v>
      </c>
      <c r="C232" s="203" t="s">
        <v>775</v>
      </c>
      <c r="D232" s="398">
        <v>0</v>
      </c>
      <c r="E232" s="261">
        <v>350000</v>
      </c>
      <c r="F232" s="261">
        <v>0</v>
      </c>
      <c r="G232" s="261">
        <v>0</v>
      </c>
      <c r="H232" s="261">
        <v>0</v>
      </c>
      <c r="I232" s="261">
        <v>0</v>
      </c>
      <c r="J232" s="261">
        <v>0</v>
      </c>
      <c r="K232" s="261">
        <v>0</v>
      </c>
      <c r="L232" s="261">
        <v>0</v>
      </c>
      <c r="M232" s="261">
        <v>0</v>
      </c>
      <c r="N232" s="261">
        <v>0</v>
      </c>
      <c r="O232" s="261">
        <v>0</v>
      </c>
      <c r="P232" s="262">
        <f t="shared" si="108"/>
        <v>350000</v>
      </c>
      <c r="Q232" s="262">
        <f t="shared" ref="Q232:Q295" si="110">SUM(G232:I232)</f>
        <v>0</v>
      </c>
      <c r="R232" s="262">
        <f t="shared" ref="R232:R295" si="111">SUM(J232:L232)</f>
        <v>0</v>
      </c>
      <c r="S232" s="262">
        <f t="shared" ref="S232:S295" si="112">SUM(M232:O232)</f>
        <v>0</v>
      </c>
      <c r="T232" s="262">
        <f t="shared" si="109"/>
        <v>350000</v>
      </c>
      <c r="U232" s="399"/>
      <c r="V232" s="400"/>
      <c r="W232" s="144"/>
    </row>
    <row r="233" spans="1:23" s="351" customFormat="1" ht="27" hidden="1" customHeight="1" outlineLevel="1">
      <c r="A233" s="143" t="s">
        <v>776</v>
      </c>
      <c r="B233" s="383" t="s">
        <v>777</v>
      </c>
      <c r="C233" s="203" t="s">
        <v>772</v>
      </c>
      <c r="D233" s="398">
        <v>0</v>
      </c>
      <c r="E233" s="398">
        <v>0</v>
      </c>
      <c r="F233" s="398">
        <v>100000</v>
      </c>
      <c r="G233" s="398">
        <v>100000</v>
      </c>
      <c r="H233" s="398">
        <v>100000</v>
      </c>
      <c r="I233" s="398">
        <v>100000</v>
      </c>
      <c r="J233" s="398">
        <v>100000</v>
      </c>
      <c r="K233" s="398">
        <v>100000</v>
      </c>
      <c r="L233" s="398">
        <v>100000</v>
      </c>
      <c r="M233" s="398">
        <v>100000</v>
      </c>
      <c r="N233" s="398">
        <v>100000</v>
      </c>
      <c r="O233" s="398">
        <v>100000</v>
      </c>
      <c r="P233" s="262">
        <f t="shared" si="108"/>
        <v>100000</v>
      </c>
      <c r="Q233" s="262">
        <f t="shared" si="110"/>
        <v>300000</v>
      </c>
      <c r="R233" s="262">
        <f t="shared" si="111"/>
        <v>300000</v>
      </c>
      <c r="S233" s="262">
        <f t="shared" si="112"/>
        <v>300000</v>
      </c>
      <c r="T233" s="262">
        <f t="shared" si="109"/>
        <v>1000000</v>
      </c>
      <c r="U233" s="399"/>
      <c r="V233" s="400"/>
      <c r="W233" s="144"/>
    </row>
    <row r="234" spans="1:23" ht="27" hidden="1" customHeight="1" outlineLevel="1">
      <c r="A234" s="143" t="s">
        <v>778</v>
      </c>
      <c r="B234" s="383" t="s">
        <v>779</v>
      </c>
      <c r="C234" s="203" t="s">
        <v>772</v>
      </c>
      <c r="D234" s="398">
        <v>0</v>
      </c>
      <c r="E234" s="398">
        <v>0</v>
      </c>
      <c r="F234" s="398">
        <v>0</v>
      </c>
      <c r="G234" s="398">
        <v>0</v>
      </c>
      <c r="H234" s="398">
        <v>0</v>
      </c>
      <c r="I234" s="261">
        <v>25000</v>
      </c>
      <c r="J234" s="261">
        <v>25000</v>
      </c>
      <c r="K234" s="261">
        <v>25000</v>
      </c>
      <c r="L234" s="261">
        <v>25000</v>
      </c>
      <c r="M234" s="261">
        <v>25000</v>
      </c>
      <c r="N234" s="261">
        <v>25000</v>
      </c>
      <c r="O234" s="261">
        <v>25000</v>
      </c>
      <c r="P234" s="262">
        <f t="shared" si="108"/>
        <v>0</v>
      </c>
      <c r="Q234" s="262">
        <f t="shared" si="110"/>
        <v>25000</v>
      </c>
      <c r="R234" s="262">
        <f t="shared" si="111"/>
        <v>75000</v>
      </c>
      <c r="S234" s="262">
        <f t="shared" si="112"/>
        <v>75000</v>
      </c>
      <c r="T234" s="262">
        <f>SUM(D234:O234)</f>
        <v>175000</v>
      </c>
      <c r="U234" s="399"/>
      <c r="V234" s="400"/>
      <c r="W234" s="144"/>
    </row>
    <row r="235" spans="1:23" s="351" customFormat="1" ht="27" hidden="1" customHeight="1" outlineLevel="1">
      <c r="A235" s="143" t="s">
        <v>780</v>
      </c>
      <c r="B235" s="401" t="s">
        <v>781</v>
      </c>
      <c r="C235" s="203" t="s">
        <v>772</v>
      </c>
      <c r="D235" s="398"/>
      <c r="E235" s="398"/>
      <c r="F235" s="398">
        <v>200000</v>
      </c>
      <c r="G235" s="398">
        <v>200000</v>
      </c>
      <c r="H235" s="398">
        <v>200000</v>
      </c>
      <c r="I235" s="398">
        <v>200000</v>
      </c>
      <c r="J235" s="398">
        <v>200000</v>
      </c>
      <c r="K235" s="398">
        <v>200000</v>
      </c>
      <c r="L235" s="398">
        <v>200000</v>
      </c>
      <c r="M235" s="398">
        <v>200000</v>
      </c>
      <c r="N235" s="398">
        <v>200000</v>
      </c>
      <c r="O235" s="398">
        <v>200000</v>
      </c>
      <c r="P235" s="262">
        <f t="shared" si="108"/>
        <v>200000</v>
      </c>
      <c r="Q235" s="262">
        <f t="shared" si="110"/>
        <v>600000</v>
      </c>
      <c r="R235" s="262">
        <f t="shared" si="111"/>
        <v>600000</v>
      </c>
      <c r="S235" s="262">
        <f t="shared" si="112"/>
        <v>600000</v>
      </c>
      <c r="T235" s="262">
        <f t="shared" si="109"/>
        <v>2000000</v>
      </c>
      <c r="U235" s="399"/>
      <c r="V235" s="400"/>
      <c r="W235" s="144"/>
    </row>
    <row r="236" spans="1:23" s="351" customFormat="1" ht="27" hidden="1" customHeight="1" outlineLevel="1">
      <c r="A236" s="143" t="s">
        <v>782</v>
      </c>
      <c r="B236" s="383" t="s">
        <v>783</v>
      </c>
      <c r="C236" s="203" t="s">
        <v>772</v>
      </c>
      <c r="D236" s="398">
        <v>2000</v>
      </c>
      <c r="E236" s="398">
        <v>2000</v>
      </c>
      <c r="F236" s="398">
        <v>2000</v>
      </c>
      <c r="G236" s="398">
        <v>2000</v>
      </c>
      <c r="H236" s="398">
        <v>2000</v>
      </c>
      <c r="I236" s="398">
        <v>2000</v>
      </c>
      <c r="J236" s="398">
        <v>2000</v>
      </c>
      <c r="K236" s="398">
        <v>2000</v>
      </c>
      <c r="L236" s="398">
        <v>2000</v>
      </c>
      <c r="M236" s="398">
        <v>2000</v>
      </c>
      <c r="N236" s="398">
        <v>2000</v>
      </c>
      <c r="O236" s="398">
        <v>2000</v>
      </c>
      <c r="P236" s="262">
        <f t="shared" si="108"/>
        <v>6000</v>
      </c>
      <c r="Q236" s="262">
        <f t="shared" si="110"/>
        <v>6000</v>
      </c>
      <c r="R236" s="262">
        <f t="shared" si="111"/>
        <v>6000</v>
      </c>
      <c r="S236" s="262">
        <f t="shared" si="112"/>
        <v>6000</v>
      </c>
      <c r="T236" s="262">
        <f t="shared" si="109"/>
        <v>24000</v>
      </c>
      <c r="U236" s="399"/>
      <c r="V236" s="400"/>
      <c r="W236" s="144"/>
    </row>
    <row r="237" spans="1:23" s="351" customFormat="1" ht="27" hidden="1" customHeight="1" outlineLevel="1">
      <c r="A237" s="143" t="s">
        <v>784</v>
      </c>
      <c r="B237" s="401" t="s">
        <v>785</v>
      </c>
      <c r="C237" s="203" t="s">
        <v>772</v>
      </c>
      <c r="D237" s="398">
        <v>0</v>
      </c>
      <c r="E237" s="261">
        <v>0</v>
      </c>
      <c r="F237" s="261">
        <v>25000</v>
      </c>
      <c r="G237" s="261">
        <v>25000</v>
      </c>
      <c r="H237" s="261">
        <v>25000</v>
      </c>
      <c r="I237" s="261">
        <v>25000</v>
      </c>
      <c r="J237" s="261">
        <v>25000</v>
      </c>
      <c r="K237" s="261">
        <v>25000</v>
      </c>
      <c r="L237" s="261">
        <v>25000</v>
      </c>
      <c r="M237" s="261">
        <v>25000</v>
      </c>
      <c r="N237" s="261">
        <v>25000</v>
      </c>
      <c r="O237" s="261">
        <v>25000</v>
      </c>
      <c r="P237" s="262">
        <f t="shared" si="108"/>
        <v>25000</v>
      </c>
      <c r="Q237" s="262">
        <f t="shared" si="110"/>
        <v>75000</v>
      </c>
      <c r="R237" s="262">
        <f t="shared" si="111"/>
        <v>75000</v>
      </c>
      <c r="S237" s="262">
        <f t="shared" si="112"/>
        <v>75000</v>
      </c>
      <c r="T237" s="262">
        <f t="shared" si="109"/>
        <v>250000</v>
      </c>
      <c r="U237" s="399"/>
      <c r="V237" s="400"/>
      <c r="W237" s="144"/>
    </row>
    <row r="238" spans="1:23" s="349" customFormat="1" ht="27" hidden="1" customHeight="1" outlineLevel="1">
      <c r="A238" s="143" t="s">
        <v>786</v>
      </c>
      <c r="B238" s="401" t="s">
        <v>787</v>
      </c>
      <c r="C238" s="203" t="s">
        <v>772</v>
      </c>
      <c r="D238" s="398">
        <v>0</v>
      </c>
      <c r="E238" s="261" t="s">
        <v>358</v>
      </c>
      <c r="F238" s="261" t="s">
        <v>358</v>
      </c>
      <c r="G238" s="261" t="s">
        <v>358</v>
      </c>
      <c r="H238" s="261" t="s">
        <v>358</v>
      </c>
      <c r="I238" s="261" t="s">
        <v>358</v>
      </c>
      <c r="J238" s="261" t="s">
        <v>358</v>
      </c>
      <c r="K238" s="261">
        <v>600000</v>
      </c>
      <c r="L238" s="261"/>
      <c r="M238" s="261"/>
      <c r="N238" s="261"/>
      <c r="O238" s="261"/>
      <c r="P238" s="262">
        <f t="shared" si="108"/>
        <v>0</v>
      </c>
      <c r="Q238" s="262">
        <f t="shared" si="110"/>
        <v>0</v>
      </c>
      <c r="R238" s="262">
        <f t="shared" si="111"/>
        <v>600000</v>
      </c>
      <c r="S238" s="262">
        <f t="shared" si="112"/>
        <v>0</v>
      </c>
      <c r="T238" s="262">
        <f t="shared" si="109"/>
        <v>600000</v>
      </c>
      <c r="U238" s="399"/>
      <c r="V238" s="400"/>
      <c r="W238" s="144"/>
    </row>
    <row r="239" spans="1:23" s="351" customFormat="1" ht="27" hidden="1" customHeight="1" outlineLevel="1">
      <c r="A239" s="143" t="s">
        <v>788</v>
      </c>
      <c r="B239" s="401" t="s">
        <v>789</v>
      </c>
      <c r="C239" s="203" t="s">
        <v>772</v>
      </c>
      <c r="D239" s="398">
        <v>0</v>
      </c>
      <c r="E239" s="261">
        <v>7000</v>
      </c>
      <c r="F239" s="261"/>
      <c r="G239" s="261"/>
      <c r="H239" s="261"/>
      <c r="I239" s="261"/>
      <c r="J239" s="261"/>
      <c r="K239" s="261"/>
      <c r="L239" s="261"/>
      <c r="M239" s="261"/>
      <c r="N239" s="261"/>
      <c r="O239" s="261"/>
      <c r="P239" s="262">
        <f t="shared" si="108"/>
        <v>7000</v>
      </c>
      <c r="Q239" s="262">
        <f t="shared" si="110"/>
        <v>0</v>
      </c>
      <c r="R239" s="262">
        <f t="shared" si="111"/>
        <v>0</v>
      </c>
      <c r="S239" s="262">
        <f t="shared" si="112"/>
        <v>0</v>
      </c>
      <c r="T239" s="262">
        <f t="shared" si="109"/>
        <v>7000</v>
      </c>
      <c r="U239" s="399"/>
      <c r="V239" s="400"/>
      <c r="W239" s="144"/>
    </row>
    <row r="240" spans="1:23" s="351" customFormat="1" ht="27" hidden="1" customHeight="1" outlineLevel="1">
      <c r="A240" s="143" t="s">
        <v>790</v>
      </c>
      <c r="B240" s="401" t="s">
        <v>791</v>
      </c>
      <c r="C240" s="203" t="s">
        <v>792</v>
      </c>
      <c r="D240" s="398">
        <v>0</v>
      </c>
      <c r="E240" s="398">
        <v>0</v>
      </c>
      <c r="F240" s="398">
        <v>0</v>
      </c>
      <c r="G240" s="398">
        <v>0</v>
      </c>
      <c r="H240" s="398">
        <v>30000</v>
      </c>
      <c r="I240" s="398">
        <v>30000</v>
      </c>
      <c r="J240" s="398">
        <v>30000</v>
      </c>
      <c r="K240" s="398">
        <v>30000</v>
      </c>
      <c r="L240" s="398">
        <v>30000</v>
      </c>
      <c r="M240" s="398">
        <v>30000</v>
      </c>
      <c r="N240" s="398">
        <v>30000</v>
      </c>
      <c r="O240" s="398">
        <v>0</v>
      </c>
      <c r="P240" s="262">
        <f t="shared" si="108"/>
        <v>0</v>
      </c>
      <c r="Q240" s="262">
        <f t="shared" si="110"/>
        <v>60000</v>
      </c>
      <c r="R240" s="262">
        <f t="shared" si="111"/>
        <v>90000</v>
      </c>
      <c r="S240" s="262">
        <f t="shared" si="112"/>
        <v>60000</v>
      </c>
      <c r="T240" s="262">
        <f>SUM(D240:O240)</f>
        <v>210000</v>
      </c>
      <c r="U240" s="399"/>
      <c r="V240" s="400"/>
      <c r="W240" s="144"/>
    </row>
    <row r="241" spans="1:23" s="351" customFormat="1" ht="27" hidden="1" customHeight="1" outlineLevel="1">
      <c r="A241" s="143" t="s">
        <v>793</v>
      </c>
      <c r="B241" s="402" t="s">
        <v>794</v>
      </c>
      <c r="C241" s="203" t="s">
        <v>792</v>
      </c>
      <c r="D241" s="398"/>
      <c r="E241" s="398"/>
      <c r="F241" s="398"/>
      <c r="G241" s="398"/>
      <c r="H241" s="398"/>
      <c r="I241" s="398"/>
      <c r="J241" s="398"/>
      <c r="K241" s="261"/>
      <c r="L241" s="261">
        <v>300000</v>
      </c>
      <c r="M241" s="261">
        <v>0</v>
      </c>
      <c r="N241" s="261"/>
      <c r="O241" s="261"/>
      <c r="P241" s="262">
        <f t="shared" si="108"/>
        <v>0</v>
      </c>
      <c r="Q241" s="262">
        <f t="shared" si="110"/>
        <v>0</v>
      </c>
      <c r="R241" s="262">
        <f t="shared" si="111"/>
        <v>300000</v>
      </c>
      <c r="S241" s="262">
        <f t="shared" si="112"/>
        <v>0</v>
      </c>
      <c r="T241" s="262">
        <f t="shared" si="109"/>
        <v>300000</v>
      </c>
      <c r="U241" s="399"/>
      <c r="V241" s="400"/>
      <c r="W241" s="144"/>
    </row>
    <row r="242" spans="1:23" s="351" customFormat="1" ht="27" hidden="1" customHeight="1" outlineLevel="1">
      <c r="A242" s="143" t="s">
        <v>795</v>
      </c>
      <c r="B242" s="401" t="s">
        <v>796</v>
      </c>
      <c r="C242" s="203" t="s">
        <v>792</v>
      </c>
      <c r="D242" s="398">
        <v>0</v>
      </c>
      <c r="E242" s="261"/>
      <c r="F242" s="261"/>
      <c r="G242" s="261"/>
      <c r="H242" s="261">
        <v>50000</v>
      </c>
      <c r="I242" s="261">
        <v>50000</v>
      </c>
      <c r="J242" s="261">
        <v>50000</v>
      </c>
      <c r="K242" s="261">
        <v>50000</v>
      </c>
      <c r="L242" s="261">
        <v>60000</v>
      </c>
      <c r="M242" s="261">
        <v>60000</v>
      </c>
      <c r="N242" s="261">
        <v>60000</v>
      </c>
      <c r="O242" s="261"/>
      <c r="P242" s="262">
        <f t="shared" si="108"/>
        <v>0</v>
      </c>
      <c r="Q242" s="262">
        <f t="shared" si="110"/>
        <v>100000</v>
      </c>
      <c r="R242" s="262">
        <f t="shared" si="111"/>
        <v>160000</v>
      </c>
      <c r="S242" s="262">
        <f t="shared" si="112"/>
        <v>120000</v>
      </c>
      <c r="T242" s="262">
        <f t="shared" si="109"/>
        <v>380000</v>
      </c>
      <c r="U242" s="399"/>
      <c r="V242" s="400"/>
      <c r="W242" s="144"/>
    </row>
    <row r="243" spans="1:23" s="351" customFormat="1" ht="27" hidden="1" customHeight="1" outlineLevel="1">
      <c r="A243" s="143" t="s">
        <v>797</v>
      </c>
      <c r="B243" s="401" t="s">
        <v>798</v>
      </c>
      <c r="C243" s="203" t="s">
        <v>792</v>
      </c>
      <c r="D243" s="398">
        <v>0</v>
      </c>
      <c r="E243" s="261">
        <v>0</v>
      </c>
      <c r="F243" s="261">
        <v>0</v>
      </c>
      <c r="G243" s="261">
        <v>0</v>
      </c>
      <c r="H243" s="261"/>
      <c r="I243" s="261"/>
      <c r="J243" s="261">
        <v>70000</v>
      </c>
      <c r="K243" s="261">
        <v>70000</v>
      </c>
      <c r="L243" s="261">
        <v>0</v>
      </c>
      <c r="M243" s="261">
        <v>0</v>
      </c>
      <c r="N243" s="261">
        <v>0</v>
      </c>
      <c r="O243" s="261">
        <v>0</v>
      </c>
      <c r="P243" s="262">
        <f t="shared" si="108"/>
        <v>0</v>
      </c>
      <c r="Q243" s="262">
        <f t="shared" si="110"/>
        <v>0</v>
      </c>
      <c r="R243" s="262">
        <f t="shared" si="111"/>
        <v>140000</v>
      </c>
      <c r="S243" s="262">
        <f t="shared" si="112"/>
        <v>0</v>
      </c>
      <c r="T243" s="262">
        <f t="shared" si="109"/>
        <v>140000</v>
      </c>
      <c r="U243" s="399"/>
      <c r="V243" s="400"/>
      <c r="W243" s="144"/>
    </row>
    <row r="244" spans="1:23" s="351" customFormat="1" ht="27" hidden="1" customHeight="1" outlineLevel="1">
      <c r="A244" s="143" t="s">
        <v>799</v>
      </c>
      <c r="B244" s="402" t="s">
        <v>800</v>
      </c>
      <c r="C244" s="203" t="s">
        <v>792</v>
      </c>
      <c r="D244" s="398">
        <v>0</v>
      </c>
      <c r="E244" s="261">
        <v>0</v>
      </c>
      <c r="F244" s="261">
        <v>150000</v>
      </c>
      <c r="G244" s="261">
        <v>0</v>
      </c>
      <c r="H244" s="261">
        <v>0</v>
      </c>
      <c r="I244" s="261">
        <v>0</v>
      </c>
      <c r="J244" s="261">
        <v>0</v>
      </c>
      <c r="K244" s="261"/>
      <c r="L244" s="261"/>
      <c r="M244" s="261"/>
      <c r="N244" s="261"/>
      <c r="O244" s="261"/>
      <c r="P244" s="262">
        <f t="shared" si="108"/>
        <v>150000</v>
      </c>
      <c r="Q244" s="262">
        <f t="shared" si="110"/>
        <v>0</v>
      </c>
      <c r="R244" s="262">
        <f t="shared" si="111"/>
        <v>0</v>
      </c>
      <c r="S244" s="262">
        <f t="shared" si="112"/>
        <v>0</v>
      </c>
      <c r="T244" s="262">
        <f t="shared" si="109"/>
        <v>150000</v>
      </c>
      <c r="U244" s="399"/>
      <c r="V244" s="400"/>
      <c r="W244" s="144"/>
    </row>
    <row r="245" spans="1:23" s="351" customFormat="1" ht="27" hidden="1" customHeight="1" outlineLevel="1">
      <c r="A245" s="143" t="s">
        <v>801</v>
      </c>
      <c r="B245" s="145" t="s">
        <v>802</v>
      </c>
      <c r="C245" s="203" t="s">
        <v>803</v>
      </c>
      <c r="D245" s="398">
        <v>2000</v>
      </c>
      <c r="E245" s="398">
        <v>2000</v>
      </c>
      <c r="F245" s="398">
        <v>2000</v>
      </c>
      <c r="G245" s="398">
        <v>2000</v>
      </c>
      <c r="H245" s="398">
        <v>2000</v>
      </c>
      <c r="I245" s="398">
        <v>2000</v>
      </c>
      <c r="J245" s="398">
        <v>2000</v>
      </c>
      <c r="K245" s="398">
        <v>2000</v>
      </c>
      <c r="L245" s="398">
        <v>2000</v>
      </c>
      <c r="M245" s="398">
        <v>2000</v>
      </c>
      <c r="N245" s="398">
        <v>2000</v>
      </c>
      <c r="O245" s="398">
        <v>2000</v>
      </c>
      <c r="P245" s="262">
        <f t="shared" si="108"/>
        <v>6000</v>
      </c>
      <c r="Q245" s="262">
        <f t="shared" si="110"/>
        <v>6000</v>
      </c>
      <c r="R245" s="262">
        <f t="shared" si="111"/>
        <v>6000</v>
      </c>
      <c r="S245" s="262">
        <f t="shared" si="112"/>
        <v>6000</v>
      </c>
      <c r="T245" s="262">
        <f t="shared" si="109"/>
        <v>24000</v>
      </c>
      <c r="U245" s="399"/>
      <c r="V245" s="400"/>
      <c r="W245" s="144"/>
    </row>
    <row r="246" spans="1:23" s="351" customFormat="1" ht="27" hidden="1" customHeight="1" outlineLevel="1">
      <c r="A246" s="143" t="s">
        <v>804</v>
      </c>
      <c r="B246" s="403" t="s">
        <v>805</v>
      </c>
      <c r="C246" s="203" t="s">
        <v>792</v>
      </c>
      <c r="D246" s="398">
        <v>0</v>
      </c>
      <c r="E246" s="261">
        <v>0</v>
      </c>
      <c r="F246" s="261">
        <v>0</v>
      </c>
      <c r="G246" s="261">
        <v>0</v>
      </c>
      <c r="H246" s="261">
        <v>0</v>
      </c>
      <c r="I246" s="261">
        <v>80000</v>
      </c>
      <c r="J246" s="261">
        <v>80000</v>
      </c>
      <c r="K246" s="261"/>
      <c r="L246" s="261"/>
      <c r="M246" s="261"/>
      <c r="N246" s="261"/>
      <c r="O246" s="261"/>
      <c r="P246" s="262">
        <f t="shared" si="108"/>
        <v>0</v>
      </c>
      <c r="Q246" s="262">
        <f t="shared" si="110"/>
        <v>80000</v>
      </c>
      <c r="R246" s="262">
        <f t="shared" si="111"/>
        <v>80000</v>
      </c>
      <c r="S246" s="262">
        <f t="shared" si="112"/>
        <v>0</v>
      </c>
      <c r="T246" s="262">
        <f t="shared" si="109"/>
        <v>160000</v>
      </c>
      <c r="U246" s="399"/>
      <c r="V246" s="400"/>
      <c r="W246" s="144"/>
    </row>
    <row r="247" spans="1:23" s="351" customFormat="1" ht="27" hidden="1" customHeight="1" outlineLevel="1">
      <c r="A247" s="143" t="s">
        <v>806</v>
      </c>
      <c r="B247" s="383" t="s">
        <v>807</v>
      </c>
      <c r="C247" s="203" t="s">
        <v>792</v>
      </c>
      <c r="D247" s="398">
        <v>0</v>
      </c>
      <c r="E247" s="261">
        <v>0</v>
      </c>
      <c r="F247" s="261"/>
      <c r="G247" s="261">
        <v>0</v>
      </c>
      <c r="H247" s="261">
        <v>0</v>
      </c>
      <c r="I247" s="261">
        <v>300000</v>
      </c>
      <c r="J247" s="261">
        <v>300000</v>
      </c>
      <c r="K247" s="261">
        <v>0</v>
      </c>
      <c r="L247" s="261">
        <v>0</v>
      </c>
      <c r="M247" s="261">
        <v>0</v>
      </c>
      <c r="N247" s="261">
        <v>0</v>
      </c>
      <c r="O247" s="261">
        <v>0</v>
      </c>
      <c r="P247" s="262">
        <f t="shared" si="108"/>
        <v>0</v>
      </c>
      <c r="Q247" s="262">
        <f t="shared" si="110"/>
        <v>300000</v>
      </c>
      <c r="R247" s="262">
        <f t="shared" si="111"/>
        <v>300000</v>
      </c>
      <c r="S247" s="262">
        <f t="shared" si="112"/>
        <v>0</v>
      </c>
      <c r="T247" s="262">
        <f t="shared" si="109"/>
        <v>600000</v>
      </c>
      <c r="U247" s="399"/>
      <c r="V247" s="400"/>
      <c r="W247" s="144"/>
    </row>
    <row r="248" spans="1:23" s="351" customFormat="1" ht="27" hidden="1" customHeight="1" outlineLevel="1">
      <c r="A248" s="143" t="s">
        <v>808</v>
      </c>
      <c r="B248" s="383" t="s">
        <v>809</v>
      </c>
      <c r="C248" s="203" t="s">
        <v>559</v>
      </c>
      <c r="D248" s="398">
        <v>0</v>
      </c>
      <c r="E248" s="261">
        <v>1000</v>
      </c>
      <c r="F248" s="261">
        <v>0</v>
      </c>
      <c r="G248" s="261">
        <v>0</v>
      </c>
      <c r="H248" s="261">
        <v>0</v>
      </c>
      <c r="I248" s="261">
        <v>0</v>
      </c>
      <c r="J248" s="261">
        <v>0</v>
      </c>
      <c r="K248" s="261">
        <v>0</v>
      </c>
      <c r="L248" s="261">
        <v>4200</v>
      </c>
      <c r="M248" s="261">
        <v>0</v>
      </c>
      <c r="N248" s="261">
        <v>0</v>
      </c>
      <c r="O248" s="261">
        <v>0</v>
      </c>
      <c r="P248" s="262">
        <f t="shared" si="108"/>
        <v>1000</v>
      </c>
      <c r="Q248" s="262">
        <f t="shared" si="110"/>
        <v>0</v>
      </c>
      <c r="R248" s="262">
        <f t="shared" si="111"/>
        <v>4200</v>
      </c>
      <c r="S248" s="262">
        <f t="shared" si="112"/>
        <v>0</v>
      </c>
      <c r="T248" s="262">
        <f t="shared" si="109"/>
        <v>5200</v>
      </c>
      <c r="U248" s="399"/>
      <c r="V248" s="400"/>
      <c r="W248" s="144"/>
    </row>
    <row r="249" spans="1:23" s="351" customFormat="1" ht="27" hidden="1" customHeight="1" outlineLevel="1">
      <c r="A249" s="143" t="s">
        <v>810</v>
      </c>
      <c r="B249" s="383" t="s">
        <v>811</v>
      </c>
      <c r="C249" s="203" t="s">
        <v>559</v>
      </c>
      <c r="D249" s="398"/>
      <c r="E249" s="398"/>
      <c r="F249" s="398"/>
      <c r="G249" s="398"/>
      <c r="H249" s="398"/>
      <c r="I249" s="398">
        <v>250000</v>
      </c>
      <c r="J249" s="398">
        <v>250000</v>
      </c>
      <c r="K249" s="398">
        <v>250000</v>
      </c>
      <c r="L249" s="398"/>
      <c r="M249" s="398"/>
      <c r="N249" s="398"/>
      <c r="O249" s="398"/>
      <c r="P249" s="262">
        <f t="shared" si="108"/>
        <v>0</v>
      </c>
      <c r="Q249" s="262">
        <f t="shared" si="110"/>
        <v>250000</v>
      </c>
      <c r="R249" s="262">
        <f t="shared" si="111"/>
        <v>500000</v>
      </c>
      <c r="S249" s="262">
        <f t="shared" si="112"/>
        <v>0</v>
      </c>
      <c r="T249" s="262">
        <f t="shared" si="109"/>
        <v>750000</v>
      </c>
      <c r="U249" s="399"/>
      <c r="V249" s="400"/>
      <c r="W249" s="144"/>
    </row>
    <row r="250" spans="1:23" ht="27" hidden="1" customHeight="1" outlineLevel="1">
      <c r="A250" s="143" t="s">
        <v>812</v>
      </c>
      <c r="B250" s="383" t="s">
        <v>813</v>
      </c>
      <c r="C250" s="163" t="s">
        <v>814</v>
      </c>
      <c r="D250" s="398">
        <v>0</v>
      </c>
      <c r="E250" s="261">
        <v>0</v>
      </c>
      <c r="F250" s="261">
        <v>0</v>
      </c>
      <c r="G250" s="261">
        <v>0</v>
      </c>
      <c r="H250" s="261">
        <v>0</v>
      </c>
      <c r="I250" s="261"/>
      <c r="J250" s="261"/>
      <c r="K250" s="261">
        <v>0</v>
      </c>
      <c r="L250" s="261">
        <v>0</v>
      </c>
      <c r="M250" s="261">
        <v>3600</v>
      </c>
      <c r="N250" s="261">
        <v>0</v>
      </c>
      <c r="O250" s="261">
        <v>0</v>
      </c>
      <c r="P250" s="262">
        <f t="shared" si="108"/>
        <v>0</v>
      </c>
      <c r="Q250" s="262">
        <f t="shared" si="110"/>
        <v>0</v>
      </c>
      <c r="R250" s="262">
        <f t="shared" si="111"/>
        <v>0</v>
      </c>
      <c r="S250" s="262">
        <f t="shared" si="112"/>
        <v>3600</v>
      </c>
      <c r="T250" s="262">
        <f t="shared" si="109"/>
        <v>3600</v>
      </c>
      <c r="U250" s="399"/>
      <c r="V250" s="400"/>
      <c r="W250" s="144"/>
    </row>
    <row r="251" spans="1:23" ht="27" hidden="1" customHeight="1" outlineLevel="1">
      <c r="A251" s="143" t="s">
        <v>815</v>
      </c>
      <c r="B251" s="383" t="s">
        <v>816</v>
      </c>
      <c r="C251" s="163" t="s">
        <v>814</v>
      </c>
      <c r="D251" s="398">
        <v>0</v>
      </c>
      <c r="E251" s="261">
        <v>1000</v>
      </c>
      <c r="F251" s="261">
        <v>0</v>
      </c>
      <c r="G251" s="261">
        <v>0</v>
      </c>
      <c r="H251" s="261">
        <v>0</v>
      </c>
      <c r="I251" s="261">
        <v>0</v>
      </c>
      <c r="J251" s="261">
        <v>0</v>
      </c>
      <c r="K251" s="261"/>
      <c r="L251" s="261"/>
      <c r="M251" s="261">
        <v>0</v>
      </c>
      <c r="N251" s="261">
        <v>0</v>
      </c>
      <c r="O251" s="261">
        <v>0</v>
      </c>
      <c r="P251" s="262">
        <f t="shared" si="108"/>
        <v>1000</v>
      </c>
      <c r="Q251" s="262">
        <f t="shared" si="110"/>
        <v>0</v>
      </c>
      <c r="R251" s="262">
        <f t="shared" si="111"/>
        <v>0</v>
      </c>
      <c r="S251" s="262">
        <f t="shared" si="112"/>
        <v>0</v>
      </c>
      <c r="T251" s="262">
        <f t="shared" si="109"/>
        <v>1000</v>
      </c>
      <c r="U251" s="399"/>
      <c r="V251" s="400"/>
      <c r="W251" s="144"/>
    </row>
    <row r="252" spans="1:23" ht="27" hidden="1" customHeight="1" outlineLevel="1">
      <c r="A252" s="143" t="s">
        <v>817</v>
      </c>
      <c r="B252" s="383" t="s">
        <v>818</v>
      </c>
      <c r="C252" s="163" t="s">
        <v>814</v>
      </c>
      <c r="D252" s="398">
        <v>0</v>
      </c>
      <c r="E252" s="261">
        <v>0</v>
      </c>
      <c r="F252" s="261">
        <v>0</v>
      </c>
      <c r="G252" s="261">
        <v>0</v>
      </c>
      <c r="H252" s="261">
        <v>0</v>
      </c>
      <c r="I252" s="261">
        <v>0</v>
      </c>
      <c r="J252" s="261">
        <v>0</v>
      </c>
      <c r="K252" s="261">
        <v>289</v>
      </c>
      <c r="L252" s="261">
        <v>0</v>
      </c>
      <c r="M252" s="261">
        <v>0</v>
      </c>
      <c r="N252" s="261">
        <v>0</v>
      </c>
      <c r="O252" s="261">
        <v>0</v>
      </c>
      <c r="P252" s="262">
        <f t="shared" si="108"/>
        <v>0</v>
      </c>
      <c r="Q252" s="262">
        <f t="shared" si="110"/>
        <v>0</v>
      </c>
      <c r="R252" s="262">
        <f t="shared" si="111"/>
        <v>289</v>
      </c>
      <c r="S252" s="262">
        <f t="shared" si="112"/>
        <v>0</v>
      </c>
      <c r="T252" s="262">
        <f t="shared" ref="T252:T271" si="113">SUM(D252:O252)</f>
        <v>289</v>
      </c>
      <c r="U252" s="399"/>
      <c r="V252" s="400"/>
      <c r="W252" s="144"/>
    </row>
    <row r="253" spans="1:23" ht="27" hidden="1" customHeight="1" outlineLevel="1">
      <c r="A253" s="143" t="s">
        <v>819</v>
      </c>
      <c r="B253" s="383" t="s">
        <v>820</v>
      </c>
      <c r="C253" s="163" t="s">
        <v>814</v>
      </c>
      <c r="D253" s="265">
        <v>234.9</v>
      </c>
      <c r="E253" s="261"/>
      <c r="F253" s="261"/>
      <c r="G253" s="261"/>
      <c r="H253" s="261"/>
      <c r="I253" s="261"/>
      <c r="J253" s="261"/>
      <c r="K253" s="261"/>
      <c r="L253" s="261"/>
      <c r="M253" s="261"/>
      <c r="N253" s="261"/>
      <c r="O253" s="261"/>
      <c r="P253" s="262">
        <f t="shared" si="108"/>
        <v>234.9</v>
      </c>
      <c r="Q253" s="262">
        <f t="shared" si="110"/>
        <v>0</v>
      </c>
      <c r="R253" s="262">
        <f t="shared" si="111"/>
        <v>0</v>
      </c>
      <c r="S253" s="262">
        <f t="shared" si="112"/>
        <v>0</v>
      </c>
      <c r="T253" s="262">
        <f t="shared" si="113"/>
        <v>234.9</v>
      </c>
      <c r="U253" s="399"/>
      <c r="V253" s="400"/>
      <c r="W253" s="144"/>
    </row>
    <row r="254" spans="1:23" ht="27" hidden="1" customHeight="1" outlineLevel="1">
      <c r="A254" s="143" t="s">
        <v>821</v>
      </c>
      <c r="B254" s="383" t="s">
        <v>822</v>
      </c>
      <c r="C254" s="163" t="s">
        <v>814</v>
      </c>
      <c r="D254" s="265">
        <v>29.9</v>
      </c>
      <c r="E254" s="265">
        <v>29.9</v>
      </c>
      <c r="F254" s="265">
        <v>29.9</v>
      </c>
      <c r="G254" s="265">
        <v>29.9</v>
      </c>
      <c r="H254" s="265">
        <v>29.9</v>
      </c>
      <c r="I254" s="265">
        <v>29.9</v>
      </c>
      <c r="J254" s="265">
        <v>29.9</v>
      </c>
      <c r="K254" s="265">
        <v>29.9</v>
      </c>
      <c r="L254" s="265">
        <v>29.9</v>
      </c>
      <c r="M254" s="265">
        <v>29.9</v>
      </c>
      <c r="N254" s="265">
        <v>29.9</v>
      </c>
      <c r="O254" s="265">
        <v>29.9</v>
      </c>
      <c r="P254" s="262">
        <f t="shared" si="108"/>
        <v>89.699999999999989</v>
      </c>
      <c r="Q254" s="262">
        <f t="shared" si="110"/>
        <v>89.699999999999989</v>
      </c>
      <c r="R254" s="262">
        <f t="shared" si="111"/>
        <v>89.699999999999989</v>
      </c>
      <c r="S254" s="262">
        <f t="shared" si="112"/>
        <v>89.699999999999989</v>
      </c>
      <c r="T254" s="262">
        <f t="shared" si="113"/>
        <v>358.79999999999995</v>
      </c>
      <c r="U254" s="399"/>
      <c r="V254" s="400"/>
      <c r="W254" s="144"/>
    </row>
    <row r="255" spans="1:23" ht="27" hidden="1" customHeight="1" outlineLevel="1">
      <c r="A255" s="143" t="s">
        <v>823</v>
      </c>
      <c r="B255" s="383" t="s">
        <v>824</v>
      </c>
      <c r="C255" s="163" t="s">
        <v>814</v>
      </c>
      <c r="D255" s="265">
        <v>4500</v>
      </c>
      <c r="E255" s="265">
        <v>4500</v>
      </c>
      <c r="F255" s="265">
        <v>4500</v>
      </c>
      <c r="G255" s="265">
        <v>4500</v>
      </c>
      <c r="H255" s="265">
        <v>4500</v>
      </c>
      <c r="I255" s="265">
        <v>4500</v>
      </c>
      <c r="J255" s="265">
        <v>4500</v>
      </c>
      <c r="K255" s="265">
        <v>4500</v>
      </c>
      <c r="L255" s="265">
        <v>4500</v>
      </c>
      <c r="M255" s="265">
        <v>4500</v>
      </c>
      <c r="N255" s="265">
        <v>4500</v>
      </c>
      <c r="O255" s="265">
        <v>4500</v>
      </c>
      <c r="P255" s="262">
        <f t="shared" si="108"/>
        <v>13500</v>
      </c>
      <c r="Q255" s="262">
        <f t="shared" si="110"/>
        <v>13500</v>
      </c>
      <c r="R255" s="262">
        <f t="shared" si="111"/>
        <v>13500</v>
      </c>
      <c r="S255" s="262">
        <f t="shared" si="112"/>
        <v>13500</v>
      </c>
      <c r="T255" s="262">
        <f t="shared" si="113"/>
        <v>54000</v>
      </c>
      <c r="U255" s="399"/>
      <c r="V255" s="400"/>
      <c r="W255" s="144"/>
    </row>
    <row r="256" spans="1:23" ht="27" hidden="1" customHeight="1" outlineLevel="1">
      <c r="A256" s="143" t="s">
        <v>825</v>
      </c>
      <c r="B256" s="383" t="s">
        <v>826</v>
      </c>
      <c r="C256" s="163" t="s">
        <v>814</v>
      </c>
      <c r="D256" s="265"/>
      <c r="E256" s="261">
        <v>240</v>
      </c>
      <c r="F256" s="261">
        <v>3420</v>
      </c>
      <c r="G256" s="261"/>
      <c r="H256" s="261"/>
      <c r="I256" s="261"/>
      <c r="J256" s="261"/>
      <c r="K256" s="261"/>
      <c r="L256" s="261"/>
      <c r="M256" s="261"/>
      <c r="N256" s="261"/>
      <c r="O256" s="261"/>
      <c r="P256" s="262">
        <f t="shared" si="108"/>
        <v>3660</v>
      </c>
      <c r="Q256" s="262">
        <f t="shared" si="110"/>
        <v>0</v>
      </c>
      <c r="R256" s="262">
        <f t="shared" si="111"/>
        <v>0</v>
      </c>
      <c r="S256" s="262">
        <f t="shared" si="112"/>
        <v>0</v>
      </c>
      <c r="T256" s="262">
        <f t="shared" si="113"/>
        <v>3660</v>
      </c>
      <c r="U256" s="399"/>
      <c r="V256" s="400"/>
      <c r="W256" s="144"/>
    </row>
    <row r="257" spans="1:23" ht="27" hidden="1" customHeight="1" outlineLevel="1">
      <c r="A257" s="143" t="s">
        <v>827</v>
      </c>
      <c r="B257" s="383" t="s">
        <v>828</v>
      </c>
      <c r="C257" s="163" t="s">
        <v>814</v>
      </c>
      <c r="D257" s="404" t="s">
        <v>829</v>
      </c>
      <c r="E257" s="261"/>
      <c r="F257" s="261"/>
      <c r="G257" s="261"/>
      <c r="H257" s="261"/>
      <c r="I257" s="261"/>
      <c r="J257" s="261"/>
      <c r="K257" s="261"/>
      <c r="L257" s="261"/>
      <c r="M257" s="261"/>
      <c r="N257" s="261"/>
      <c r="O257" s="261"/>
      <c r="P257" s="262">
        <f t="shared" si="108"/>
        <v>0</v>
      </c>
      <c r="Q257" s="262">
        <f t="shared" si="110"/>
        <v>0</v>
      </c>
      <c r="R257" s="262">
        <f t="shared" si="111"/>
        <v>0</v>
      </c>
      <c r="S257" s="262">
        <f t="shared" si="112"/>
        <v>0</v>
      </c>
      <c r="T257" s="405">
        <f t="shared" ref="T257:T259" si="114">SUM(D257:O257)</f>
        <v>0</v>
      </c>
      <c r="U257" s="399"/>
      <c r="V257" s="400"/>
      <c r="W257" s="144"/>
    </row>
    <row r="258" spans="1:23" ht="27" hidden="1" customHeight="1" outlineLevel="1">
      <c r="A258" s="143" t="s">
        <v>830</v>
      </c>
      <c r="B258" s="383" t="s">
        <v>831</v>
      </c>
      <c r="C258" s="163" t="s">
        <v>814</v>
      </c>
      <c r="D258" s="404" t="s">
        <v>832</v>
      </c>
      <c r="E258" s="261"/>
      <c r="F258" s="261"/>
      <c r="G258" s="261"/>
      <c r="H258" s="261"/>
      <c r="I258" s="261"/>
      <c r="J258" s="261"/>
      <c r="K258" s="261"/>
      <c r="L258" s="261"/>
      <c r="M258" s="261"/>
      <c r="N258" s="261"/>
      <c r="O258" s="261"/>
      <c r="P258" s="262">
        <f t="shared" si="108"/>
        <v>0</v>
      </c>
      <c r="Q258" s="262">
        <f t="shared" si="110"/>
        <v>0</v>
      </c>
      <c r="R258" s="262">
        <f t="shared" si="111"/>
        <v>0</v>
      </c>
      <c r="S258" s="262">
        <f t="shared" si="112"/>
        <v>0</v>
      </c>
      <c r="T258" s="405">
        <f t="shared" si="114"/>
        <v>0</v>
      </c>
      <c r="U258" s="399"/>
      <c r="V258" s="400"/>
      <c r="W258" s="144"/>
    </row>
    <row r="259" spans="1:23" ht="48" hidden="1" customHeight="1" outlineLevel="1">
      <c r="A259" s="143" t="s">
        <v>833</v>
      </c>
      <c r="B259" s="383" t="s">
        <v>834</v>
      </c>
      <c r="C259" s="163" t="s">
        <v>814</v>
      </c>
      <c r="D259" s="405">
        <v>129</v>
      </c>
      <c r="E259" s="405">
        <v>129</v>
      </c>
      <c r="F259" s="405">
        <v>129</v>
      </c>
      <c r="G259" s="405">
        <v>129</v>
      </c>
      <c r="H259" s="261"/>
      <c r="I259" s="261"/>
      <c r="J259" s="261"/>
      <c r="K259" s="261"/>
      <c r="L259" s="261"/>
      <c r="M259" s="261"/>
      <c r="N259" s="261"/>
      <c r="O259" s="261"/>
      <c r="P259" s="262">
        <f t="shared" si="108"/>
        <v>387</v>
      </c>
      <c r="Q259" s="262">
        <f t="shared" si="110"/>
        <v>129</v>
      </c>
      <c r="R259" s="262">
        <f t="shared" si="111"/>
        <v>0</v>
      </c>
      <c r="S259" s="262">
        <f t="shared" si="112"/>
        <v>0</v>
      </c>
      <c r="T259" s="405">
        <f t="shared" si="114"/>
        <v>516</v>
      </c>
      <c r="U259" s="399"/>
      <c r="V259" s="400"/>
      <c r="W259" s="144"/>
    </row>
    <row r="260" spans="1:23" ht="27" hidden="1" customHeight="1" outlineLevel="1">
      <c r="A260" s="143" t="s">
        <v>835</v>
      </c>
      <c r="B260" s="383" t="s">
        <v>836</v>
      </c>
      <c r="C260" s="163" t="s">
        <v>814</v>
      </c>
      <c r="D260" s="405">
        <v>105</v>
      </c>
      <c r="E260" s="405">
        <v>105</v>
      </c>
      <c r="F260" s="405">
        <v>105</v>
      </c>
      <c r="G260" s="405">
        <v>105</v>
      </c>
      <c r="H260" s="405"/>
      <c r="I260" s="405"/>
      <c r="J260" s="405"/>
      <c r="K260" s="405"/>
      <c r="L260" s="405"/>
      <c r="M260" s="405"/>
      <c r="N260" s="405"/>
      <c r="O260" s="405"/>
      <c r="P260" s="262">
        <f t="shared" si="108"/>
        <v>315</v>
      </c>
      <c r="Q260" s="262">
        <f t="shared" si="110"/>
        <v>105</v>
      </c>
      <c r="R260" s="262">
        <f t="shared" si="111"/>
        <v>0</v>
      </c>
      <c r="S260" s="262">
        <f t="shared" si="112"/>
        <v>0</v>
      </c>
      <c r="T260" s="405">
        <f>SUM(D260:O260)</f>
        <v>420</v>
      </c>
      <c r="U260" s="399"/>
      <c r="V260" s="400"/>
      <c r="W260" s="144"/>
    </row>
    <row r="261" spans="1:23" ht="27" hidden="1" customHeight="1" outlineLevel="1">
      <c r="A261" s="143" t="s">
        <v>837</v>
      </c>
      <c r="B261" s="383" t="s">
        <v>838</v>
      </c>
      <c r="C261" s="163" t="s">
        <v>814</v>
      </c>
      <c r="D261" s="405">
        <v>124.75</v>
      </c>
      <c r="E261" s="405">
        <v>124.75</v>
      </c>
      <c r="F261" s="405">
        <v>124.75</v>
      </c>
      <c r="G261" s="405">
        <v>124.75</v>
      </c>
      <c r="H261" s="405">
        <v>124.75</v>
      </c>
      <c r="I261" s="405">
        <v>124.75</v>
      </c>
      <c r="J261" s="405">
        <v>124.75</v>
      </c>
      <c r="K261" s="405">
        <v>124.75</v>
      </c>
      <c r="L261" s="405">
        <v>124.75</v>
      </c>
      <c r="M261" s="405">
        <v>124.75</v>
      </c>
      <c r="N261" s="405">
        <v>124.75</v>
      </c>
      <c r="O261" s="405">
        <v>124.75</v>
      </c>
      <c r="P261" s="262">
        <f t="shared" si="108"/>
        <v>374.25</v>
      </c>
      <c r="Q261" s="262">
        <f t="shared" si="110"/>
        <v>374.25</v>
      </c>
      <c r="R261" s="262">
        <f t="shared" si="111"/>
        <v>374.25</v>
      </c>
      <c r="S261" s="262">
        <f t="shared" si="112"/>
        <v>374.25</v>
      </c>
      <c r="T261" s="405">
        <f>SUM(D261:O261)</f>
        <v>1497</v>
      </c>
      <c r="U261" s="399"/>
      <c r="V261" s="400"/>
      <c r="W261" s="144"/>
    </row>
    <row r="262" spans="1:23" ht="27" hidden="1" customHeight="1" outlineLevel="1">
      <c r="A262" s="143" t="s">
        <v>839</v>
      </c>
      <c r="B262" s="383" t="s">
        <v>840</v>
      </c>
      <c r="C262" s="163" t="s">
        <v>814</v>
      </c>
      <c r="D262" s="405">
        <v>225</v>
      </c>
      <c r="E262" s="405">
        <v>225</v>
      </c>
      <c r="F262" s="405">
        <v>225</v>
      </c>
      <c r="G262" s="405">
        <v>225</v>
      </c>
      <c r="H262" s="261"/>
      <c r="I262" s="261"/>
      <c r="J262" s="261"/>
      <c r="K262" s="261"/>
      <c r="L262" s="261"/>
      <c r="M262" s="261"/>
      <c r="N262" s="261"/>
      <c r="O262" s="261"/>
      <c r="P262" s="262">
        <f t="shared" si="108"/>
        <v>675</v>
      </c>
      <c r="Q262" s="262">
        <f t="shared" si="110"/>
        <v>225</v>
      </c>
      <c r="R262" s="262">
        <f t="shared" si="111"/>
        <v>0</v>
      </c>
      <c r="S262" s="262">
        <f t="shared" si="112"/>
        <v>0</v>
      </c>
      <c r="T262" s="405">
        <f t="shared" ref="T262:T263" si="115">SUM(D262:O262)</f>
        <v>900</v>
      </c>
      <c r="U262" s="399"/>
      <c r="V262" s="400"/>
      <c r="W262" s="144"/>
    </row>
    <row r="263" spans="1:23" ht="27" hidden="1" customHeight="1" outlineLevel="1">
      <c r="A263" s="143"/>
      <c r="B263" s="383"/>
      <c r="C263" s="163"/>
      <c r="D263" s="265"/>
      <c r="E263" s="261"/>
      <c r="F263" s="261"/>
      <c r="G263" s="261"/>
      <c r="H263" s="261"/>
      <c r="I263" s="261"/>
      <c r="J263" s="261"/>
      <c r="K263" s="261"/>
      <c r="L263" s="261"/>
      <c r="M263" s="261"/>
      <c r="N263" s="261"/>
      <c r="O263" s="261"/>
      <c r="P263" s="262">
        <f t="shared" si="108"/>
        <v>0</v>
      </c>
      <c r="Q263" s="262">
        <f t="shared" si="110"/>
        <v>0</v>
      </c>
      <c r="R263" s="262">
        <f t="shared" si="111"/>
        <v>0</v>
      </c>
      <c r="S263" s="262">
        <f t="shared" si="112"/>
        <v>0</v>
      </c>
      <c r="T263" s="405">
        <f t="shared" si="115"/>
        <v>0</v>
      </c>
      <c r="U263" s="399"/>
      <c r="V263" s="400"/>
      <c r="W263" s="144"/>
    </row>
    <row r="264" spans="1:23" ht="27" hidden="1" customHeight="1" outlineLevel="1">
      <c r="A264" s="143" t="s">
        <v>827</v>
      </c>
      <c r="B264" s="383" t="s">
        <v>841</v>
      </c>
      <c r="C264" s="163" t="s">
        <v>842</v>
      </c>
      <c r="D264" s="265"/>
      <c r="E264" s="261"/>
      <c r="F264" s="261"/>
      <c r="G264" s="261"/>
      <c r="H264" s="261"/>
      <c r="I264" s="261"/>
      <c r="J264" s="261"/>
      <c r="K264" s="261"/>
      <c r="L264" s="261"/>
      <c r="M264" s="261"/>
      <c r="N264" s="261"/>
      <c r="O264" s="261"/>
      <c r="P264" s="262">
        <f t="shared" si="108"/>
        <v>0</v>
      </c>
      <c r="Q264" s="262">
        <f t="shared" si="110"/>
        <v>0</v>
      </c>
      <c r="R264" s="262">
        <f t="shared" si="111"/>
        <v>0</v>
      </c>
      <c r="S264" s="262">
        <f t="shared" si="112"/>
        <v>0</v>
      </c>
      <c r="T264" s="262">
        <f t="shared" si="113"/>
        <v>0</v>
      </c>
      <c r="U264" s="399"/>
      <c r="V264" s="400"/>
      <c r="W264" s="144"/>
    </row>
    <row r="265" spans="1:23" ht="27" hidden="1" customHeight="1" outlineLevel="1">
      <c r="A265" s="143" t="s">
        <v>830</v>
      </c>
      <c r="B265" s="383" t="s">
        <v>843</v>
      </c>
      <c r="C265" s="163" t="s">
        <v>842</v>
      </c>
      <c r="D265" s="265">
        <v>676.2</v>
      </c>
      <c r="E265" s="265">
        <v>676.2</v>
      </c>
      <c r="F265" s="265">
        <v>676.2</v>
      </c>
      <c r="G265" s="265">
        <v>676.2</v>
      </c>
      <c r="H265" s="265">
        <v>676.2</v>
      </c>
      <c r="I265" s="265">
        <v>676.2</v>
      </c>
      <c r="J265" s="265">
        <v>676.2</v>
      </c>
      <c r="K265" s="265">
        <v>676.2</v>
      </c>
      <c r="L265" s="265">
        <v>676.2</v>
      </c>
      <c r="M265" s="265">
        <v>676.2</v>
      </c>
      <c r="N265" s="265">
        <v>676.2</v>
      </c>
      <c r="O265" s="265">
        <v>676.2</v>
      </c>
      <c r="P265" s="262">
        <f t="shared" si="108"/>
        <v>2028.6000000000001</v>
      </c>
      <c r="Q265" s="262">
        <f t="shared" si="110"/>
        <v>2028.6000000000001</v>
      </c>
      <c r="R265" s="262">
        <f t="shared" si="111"/>
        <v>2028.6000000000001</v>
      </c>
      <c r="S265" s="262">
        <f t="shared" si="112"/>
        <v>2028.6000000000001</v>
      </c>
      <c r="T265" s="262">
        <f t="shared" si="113"/>
        <v>8114.3999999999987</v>
      </c>
      <c r="U265" s="399"/>
      <c r="V265" s="400"/>
      <c r="W265" s="144"/>
    </row>
    <row r="266" spans="1:23" s="353" customFormat="1" ht="27" hidden="1" customHeight="1" outlineLevel="1">
      <c r="A266" s="143" t="s">
        <v>833</v>
      </c>
      <c r="B266" s="143" t="s">
        <v>844</v>
      </c>
      <c r="C266" s="203" t="s">
        <v>845</v>
      </c>
      <c r="D266" s="265">
        <v>0</v>
      </c>
      <c r="E266" s="261" t="s">
        <v>358</v>
      </c>
      <c r="F266" s="261" t="s">
        <v>358</v>
      </c>
      <c r="G266" s="261" t="s">
        <v>358</v>
      </c>
      <c r="H266" s="261" t="s">
        <v>358</v>
      </c>
      <c r="I266" s="261" t="s">
        <v>358</v>
      </c>
      <c r="J266" s="261"/>
      <c r="K266" s="261"/>
      <c r="L266" s="261"/>
      <c r="M266" s="261"/>
      <c r="N266" s="261"/>
      <c r="O266" s="261"/>
      <c r="P266" s="262">
        <f t="shared" si="108"/>
        <v>0</v>
      </c>
      <c r="Q266" s="262">
        <f t="shared" si="110"/>
        <v>0</v>
      </c>
      <c r="R266" s="262">
        <f t="shared" si="111"/>
        <v>0</v>
      </c>
      <c r="S266" s="262">
        <f t="shared" si="112"/>
        <v>0</v>
      </c>
      <c r="T266" s="262">
        <f t="shared" si="113"/>
        <v>0</v>
      </c>
      <c r="U266" s="399"/>
      <c r="V266" s="400"/>
      <c r="W266" s="380"/>
    </row>
    <row r="267" spans="1:23" s="351" customFormat="1" ht="27" hidden="1" customHeight="1" outlineLevel="1">
      <c r="A267" s="143" t="s">
        <v>835</v>
      </c>
      <c r="B267" s="383" t="s">
        <v>846</v>
      </c>
      <c r="C267" s="203" t="s">
        <v>845</v>
      </c>
      <c r="D267" s="265">
        <v>0</v>
      </c>
      <c r="E267" s="261" t="s">
        <v>358</v>
      </c>
      <c r="F267" s="261" t="s">
        <v>358</v>
      </c>
      <c r="G267" s="261" t="s">
        <v>358</v>
      </c>
      <c r="H267" s="261" t="s">
        <v>358</v>
      </c>
      <c r="I267" s="261" t="s">
        <v>358</v>
      </c>
      <c r="J267" s="261">
        <v>1000</v>
      </c>
      <c r="K267" s="261">
        <v>1000</v>
      </c>
      <c r="L267" s="261">
        <v>1000</v>
      </c>
      <c r="M267" s="261">
        <v>1000</v>
      </c>
      <c r="N267" s="261">
        <v>1000</v>
      </c>
      <c r="O267" s="261">
        <v>1000</v>
      </c>
      <c r="P267" s="262">
        <f t="shared" si="108"/>
        <v>0</v>
      </c>
      <c r="Q267" s="262">
        <f t="shared" si="110"/>
        <v>0</v>
      </c>
      <c r="R267" s="262">
        <f t="shared" si="111"/>
        <v>3000</v>
      </c>
      <c r="S267" s="262">
        <f t="shared" si="112"/>
        <v>3000</v>
      </c>
      <c r="T267" s="262">
        <f t="shared" si="113"/>
        <v>6000</v>
      </c>
      <c r="U267" s="399"/>
      <c r="V267" s="400"/>
      <c r="W267" s="144"/>
    </row>
    <row r="268" spans="1:23" ht="27" hidden="1" customHeight="1" outlineLevel="1">
      <c r="A268" s="143" t="s">
        <v>837</v>
      </c>
      <c r="B268" s="145"/>
      <c r="C268" s="146"/>
      <c r="D268" s="265"/>
      <c r="E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2">
        <f t="shared" si="108"/>
        <v>0</v>
      </c>
      <c r="Q268" s="262">
        <f t="shared" si="110"/>
        <v>0</v>
      </c>
      <c r="R268" s="262">
        <f t="shared" si="111"/>
        <v>0</v>
      </c>
      <c r="S268" s="262">
        <f t="shared" si="112"/>
        <v>0</v>
      </c>
      <c r="T268" s="262">
        <f t="shared" si="113"/>
        <v>0</v>
      </c>
      <c r="U268" s="399"/>
      <c r="V268" s="400"/>
      <c r="W268" s="144"/>
    </row>
    <row r="269" spans="1:23" s="321" customFormat="1" ht="27" hidden="1" customHeight="1" outlineLevel="1">
      <c r="A269" s="143" t="s">
        <v>839</v>
      </c>
      <c r="B269" s="145" t="s">
        <v>847</v>
      </c>
      <c r="C269" s="146" t="s">
        <v>842</v>
      </c>
      <c r="D269" s="265">
        <v>0</v>
      </c>
      <c r="E269" s="261" t="s">
        <v>358</v>
      </c>
      <c r="F269" s="264" t="s">
        <v>358</v>
      </c>
      <c r="G269" s="261" t="s">
        <v>358</v>
      </c>
      <c r="H269" s="261" t="s">
        <v>358</v>
      </c>
      <c r="I269" s="261" t="s">
        <v>358</v>
      </c>
      <c r="J269" s="261" t="s">
        <v>358</v>
      </c>
      <c r="K269" s="261"/>
      <c r="L269" s="261"/>
      <c r="M269" s="261" t="s">
        <v>358</v>
      </c>
      <c r="N269" s="261" t="s">
        <v>358</v>
      </c>
      <c r="O269" s="261" t="s">
        <v>358</v>
      </c>
      <c r="P269" s="262">
        <f t="shared" si="108"/>
        <v>0</v>
      </c>
      <c r="Q269" s="262">
        <f t="shared" si="110"/>
        <v>0</v>
      </c>
      <c r="R269" s="262">
        <f t="shared" si="111"/>
        <v>0</v>
      </c>
      <c r="S269" s="262">
        <f t="shared" si="112"/>
        <v>0</v>
      </c>
      <c r="T269" s="262">
        <f t="shared" si="113"/>
        <v>0</v>
      </c>
      <c r="U269" s="399"/>
      <c r="V269" s="400"/>
      <c r="W269" s="144"/>
    </row>
    <row r="270" spans="1:23" ht="35.25" hidden="1" customHeight="1" outlineLevel="1">
      <c r="A270" s="143" t="s">
        <v>848</v>
      </c>
      <c r="B270" s="406" t="s">
        <v>849</v>
      </c>
      <c r="C270" s="146" t="s">
        <v>850</v>
      </c>
      <c r="D270" s="265">
        <v>0</v>
      </c>
      <c r="E270" s="261"/>
      <c r="F270" s="261">
        <v>4000</v>
      </c>
      <c r="G270" s="261"/>
      <c r="H270" s="261"/>
      <c r="I270" s="261">
        <v>4000</v>
      </c>
      <c r="J270" s="261"/>
      <c r="K270" s="261"/>
      <c r="L270" s="261">
        <v>4000</v>
      </c>
      <c r="M270" s="261"/>
      <c r="N270" s="261"/>
      <c r="O270" s="261"/>
      <c r="P270" s="262">
        <f t="shared" si="108"/>
        <v>4000</v>
      </c>
      <c r="Q270" s="262">
        <f t="shared" si="110"/>
        <v>4000</v>
      </c>
      <c r="R270" s="262">
        <f t="shared" si="111"/>
        <v>4000</v>
      </c>
      <c r="S270" s="262">
        <f t="shared" si="112"/>
        <v>0</v>
      </c>
      <c r="T270" s="262">
        <f t="shared" si="113"/>
        <v>12000</v>
      </c>
      <c r="U270" s="399"/>
      <c r="V270" s="400"/>
      <c r="W270" s="144"/>
    </row>
    <row r="271" spans="1:23" ht="27" hidden="1" customHeight="1" outlineLevel="1">
      <c r="A271" s="143" t="s">
        <v>851</v>
      </c>
      <c r="B271" s="407" t="s">
        <v>852</v>
      </c>
      <c r="C271" s="229" t="s">
        <v>430</v>
      </c>
      <c r="D271" s="265">
        <v>0</v>
      </c>
      <c r="E271" s="261"/>
      <c r="F271" s="261"/>
      <c r="G271" s="261"/>
      <c r="H271" s="261">
        <v>5600</v>
      </c>
      <c r="I271" s="261"/>
      <c r="J271" s="261"/>
      <c r="K271" s="261"/>
      <c r="L271" s="261"/>
      <c r="M271" s="261"/>
      <c r="N271" s="261"/>
      <c r="O271" s="261"/>
      <c r="P271" s="262">
        <f t="shared" si="108"/>
        <v>0</v>
      </c>
      <c r="Q271" s="262">
        <f t="shared" si="110"/>
        <v>5600</v>
      </c>
      <c r="R271" s="262">
        <f t="shared" si="111"/>
        <v>0</v>
      </c>
      <c r="S271" s="262">
        <f t="shared" si="112"/>
        <v>0</v>
      </c>
      <c r="T271" s="262">
        <f t="shared" si="113"/>
        <v>5600</v>
      </c>
      <c r="U271" s="399"/>
      <c r="V271" s="400"/>
      <c r="W271" s="144"/>
    </row>
    <row r="272" spans="1:23" ht="27" hidden="1" customHeight="1" outlineLevel="1">
      <c r="A272" s="143" t="s">
        <v>853</v>
      </c>
      <c r="B272" s="408" t="s">
        <v>854</v>
      </c>
      <c r="C272" s="307" t="s">
        <v>430</v>
      </c>
      <c r="D272" s="264">
        <v>600</v>
      </c>
      <c r="E272" s="264">
        <v>600</v>
      </c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2">
        <f t="shared" si="108"/>
        <v>1200</v>
      </c>
      <c r="Q272" s="262">
        <f t="shared" si="110"/>
        <v>0</v>
      </c>
      <c r="R272" s="262">
        <f t="shared" si="111"/>
        <v>0</v>
      </c>
      <c r="S272" s="262">
        <f t="shared" si="112"/>
        <v>0</v>
      </c>
      <c r="T272" s="262">
        <f t="shared" ref="T272:T289" si="116">SUM(D272:O272)</f>
        <v>1200</v>
      </c>
      <c r="U272" s="399"/>
      <c r="V272" s="400"/>
      <c r="W272" s="144"/>
    </row>
    <row r="273" spans="1:23" ht="27" hidden="1" customHeight="1" outlineLevel="1">
      <c r="A273" s="143" t="s">
        <v>855</v>
      </c>
      <c r="B273" s="409" t="s">
        <v>856</v>
      </c>
      <c r="C273" s="277" t="s">
        <v>430</v>
      </c>
      <c r="D273" s="264">
        <v>250</v>
      </c>
      <c r="E273" s="264">
        <v>250</v>
      </c>
      <c r="F273" s="264">
        <v>250</v>
      </c>
      <c r="G273" s="264">
        <v>250</v>
      </c>
      <c r="H273" s="264"/>
      <c r="I273" s="264"/>
      <c r="J273" s="264"/>
      <c r="K273" s="264"/>
      <c r="L273" s="264"/>
      <c r="M273" s="264"/>
      <c r="N273" s="264"/>
      <c r="O273" s="264"/>
      <c r="P273" s="262">
        <f t="shared" si="108"/>
        <v>750</v>
      </c>
      <c r="Q273" s="262">
        <f t="shared" si="110"/>
        <v>250</v>
      </c>
      <c r="R273" s="262">
        <f t="shared" si="111"/>
        <v>0</v>
      </c>
      <c r="S273" s="262">
        <f t="shared" si="112"/>
        <v>0</v>
      </c>
      <c r="T273" s="262">
        <f t="shared" si="116"/>
        <v>1000</v>
      </c>
      <c r="U273" s="399"/>
      <c r="V273" s="400"/>
      <c r="W273" s="144"/>
    </row>
    <row r="274" spans="1:23" s="139" customFormat="1" ht="46.15" hidden="1" customHeight="1" outlineLevel="1">
      <c r="A274" s="143" t="s">
        <v>857</v>
      </c>
      <c r="B274" s="410" t="s">
        <v>858</v>
      </c>
      <c r="C274" s="411" t="s">
        <v>483</v>
      </c>
      <c r="D274" s="204">
        <v>0</v>
      </c>
      <c r="E274" s="204">
        <v>0</v>
      </c>
      <c r="F274" s="204">
        <v>100000</v>
      </c>
      <c r="G274" s="204"/>
      <c r="H274" s="204"/>
      <c r="I274" s="204"/>
      <c r="J274" s="204"/>
      <c r="K274" s="204"/>
      <c r="L274" s="204"/>
      <c r="M274" s="204"/>
      <c r="N274" s="204"/>
      <c r="O274" s="204"/>
      <c r="P274" s="262">
        <f t="shared" si="108"/>
        <v>100000</v>
      </c>
      <c r="Q274" s="262">
        <f t="shared" si="110"/>
        <v>0</v>
      </c>
      <c r="R274" s="262">
        <f t="shared" si="111"/>
        <v>0</v>
      </c>
      <c r="S274" s="262">
        <f t="shared" si="112"/>
        <v>0</v>
      </c>
      <c r="T274" s="262">
        <f t="shared" si="116"/>
        <v>100000</v>
      </c>
      <c r="U274" s="399"/>
      <c r="V274" s="400"/>
      <c r="W274" s="144"/>
    </row>
    <row r="275" spans="1:23" s="139" customFormat="1" ht="27" hidden="1" customHeight="1" outlineLevel="1">
      <c r="A275" s="143" t="s">
        <v>859</v>
      </c>
      <c r="B275" s="204" t="s">
        <v>860</v>
      </c>
      <c r="C275" s="203" t="s">
        <v>483</v>
      </c>
      <c r="D275" s="204">
        <v>4500</v>
      </c>
      <c r="E275" s="204">
        <v>4500</v>
      </c>
      <c r="F275" s="204">
        <v>4500</v>
      </c>
      <c r="G275" s="204">
        <v>4500</v>
      </c>
      <c r="H275" s="204">
        <v>4500</v>
      </c>
      <c r="I275" s="204">
        <v>4500</v>
      </c>
      <c r="J275" s="204">
        <v>4500</v>
      </c>
      <c r="K275" s="204">
        <v>4500</v>
      </c>
      <c r="L275" s="204">
        <v>4500</v>
      </c>
      <c r="M275" s="204">
        <v>4500</v>
      </c>
      <c r="N275" s="204">
        <v>4500</v>
      </c>
      <c r="O275" s="204">
        <v>4500</v>
      </c>
      <c r="P275" s="262">
        <f t="shared" si="108"/>
        <v>13500</v>
      </c>
      <c r="Q275" s="262">
        <f t="shared" si="110"/>
        <v>13500</v>
      </c>
      <c r="R275" s="262">
        <f t="shared" si="111"/>
        <v>13500</v>
      </c>
      <c r="S275" s="262">
        <f t="shared" si="112"/>
        <v>13500</v>
      </c>
      <c r="T275" s="262">
        <f t="shared" si="116"/>
        <v>54000</v>
      </c>
      <c r="U275" s="399"/>
      <c r="V275" s="400"/>
      <c r="W275" s="144"/>
    </row>
    <row r="276" spans="1:23" ht="26.45" hidden="1" outlineLevel="1">
      <c r="A276" s="143" t="s">
        <v>861</v>
      </c>
      <c r="B276" s="204" t="s">
        <v>862</v>
      </c>
      <c r="C276" s="203" t="s">
        <v>483</v>
      </c>
      <c r="D276" s="204">
        <v>0</v>
      </c>
      <c r="E276" s="204"/>
      <c r="F276" s="204"/>
      <c r="G276" s="204">
        <v>540000</v>
      </c>
      <c r="H276" s="204"/>
      <c r="I276" s="204"/>
      <c r="J276" s="204"/>
      <c r="K276" s="204"/>
      <c r="L276" s="204"/>
      <c r="M276" s="204"/>
      <c r="N276" s="204"/>
      <c r="O276" s="204"/>
      <c r="P276" s="262">
        <f t="shared" si="108"/>
        <v>0</v>
      </c>
      <c r="Q276" s="262">
        <f t="shared" si="110"/>
        <v>540000</v>
      </c>
      <c r="R276" s="262">
        <f t="shared" si="111"/>
        <v>0</v>
      </c>
      <c r="S276" s="262">
        <f t="shared" si="112"/>
        <v>0</v>
      </c>
      <c r="T276" s="262">
        <f t="shared" si="116"/>
        <v>540000</v>
      </c>
      <c r="U276" s="399"/>
      <c r="V276" s="400"/>
      <c r="W276" s="144"/>
    </row>
    <row r="277" spans="1:23" s="139" customFormat="1" ht="27" hidden="1" customHeight="1" outlineLevel="1">
      <c r="A277" s="143" t="s">
        <v>863</v>
      </c>
      <c r="B277" s="204" t="s">
        <v>864</v>
      </c>
      <c r="C277" s="203" t="s">
        <v>483</v>
      </c>
      <c r="D277" s="204">
        <v>0</v>
      </c>
      <c r="E277" s="204">
        <v>62000</v>
      </c>
      <c r="F277" s="204"/>
      <c r="G277" s="204"/>
      <c r="H277" s="204"/>
      <c r="I277" s="204"/>
      <c r="J277" s="204"/>
      <c r="K277" s="204"/>
      <c r="L277" s="204"/>
      <c r="M277" s="204"/>
      <c r="N277" s="204"/>
      <c r="O277" s="204"/>
      <c r="P277" s="262">
        <f t="shared" si="108"/>
        <v>62000</v>
      </c>
      <c r="Q277" s="262">
        <f t="shared" si="110"/>
        <v>0</v>
      </c>
      <c r="R277" s="262">
        <f t="shared" si="111"/>
        <v>0</v>
      </c>
      <c r="S277" s="262">
        <f t="shared" si="112"/>
        <v>0</v>
      </c>
      <c r="T277" s="262">
        <f t="shared" si="116"/>
        <v>62000</v>
      </c>
      <c r="U277" s="399"/>
      <c r="V277" s="400"/>
      <c r="W277" s="144"/>
    </row>
    <row r="278" spans="1:23" s="139" customFormat="1" ht="27" hidden="1" customHeight="1" outlineLevel="1">
      <c r="A278" s="143" t="s">
        <v>865</v>
      </c>
      <c r="B278" s="204" t="s">
        <v>866</v>
      </c>
      <c r="C278" s="203" t="s">
        <v>483</v>
      </c>
      <c r="D278" s="204" t="s">
        <v>867</v>
      </c>
      <c r="E278" s="204">
        <v>150000</v>
      </c>
      <c r="F278" s="204"/>
      <c r="G278" s="204"/>
      <c r="H278" s="204"/>
      <c r="I278" s="204"/>
      <c r="J278" s="204"/>
      <c r="K278" s="204"/>
      <c r="L278" s="204"/>
      <c r="M278" s="204"/>
      <c r="N278" s="204"/>
      <c r="O278" s="204"/>
      <c r="P278" s="262">
        <f t="shared" si="108"/>
        <v>150000</v>
      </c>
      <c r="Q278" s="262">
        <f t="shared" si="110"/>
        <v>0</v>
      </c>
      <c r="R278" s="262">
        <f t="shared" si="111"/>
        <v>0</v>
      </c>
      <c r="S278" s="262">
        <f t="shared" si="112"/>
        <v>0</v>
      </c>
      <c r="T278" s="262">
        <f t="shared" si="116"/>
        <v>150000</v>
      </c>
      <c r="U278" s="399"/>
      <c r="V278" s="400"/>
      <c r="W278" s="144"/>
    </row>
    <row r="279" spans="1:23" s="139" customFormat="1" ht="27" hidden="1" customHeight="1" outlineLevel="1">
      <c r="A279" s="143" t="s">
        <v>868</v>
      </c>
      <c r="B279" s="204" t="s">
        <v>869</v>
      </c>
      <c r="C279" s="203" t="s">
        <v>483</v>
      </c>
      <c r="D279" s="204">
        <v>0</v>
      </c>
      <c r="E279" s="204"/>
      <c r="F279" s="204"/>
      <c r="G279" s="204"/>
      <c r="H279" s="204"/>
      <c r="I279" s="204"/>
      <c r="J279" s="204"/>
      <c r="K279" s="204">
        <v>40000</v>
      </c>
      <c r="L279" s="204"/>
      <c r="M279" s="204"/>
      <c r="N279" s="204"/>
      <c r="O279" s="204"/>
      <c r="P279" s="262">
        <f t="shared" si="108"/>
        <v>0</v>
      </c>
      <c r="Q279" s="262">
        <f t="shared" si="110"/>
        <v>0</v>
      </c>
      <c r="R279" s="262">
        <f t="shared" si="111"/>
        <v>40000</v>
      </c>
      <c r="S279" s="262">
        <f t="shared" si="112"/>
        <v>0</v>
      </c>
      <c r="T279" s="262">
        <f t="shared" si="116"/>
        <v>40000</v>
      </c>
      <c r="U279" s="399"/>
      <c r="V279" s="400"/>
      <c r="W279" s="144"/>
    </row>
    <row r="280" spans="1:23" s="139" customFormat="1" ht="27" hidden="1" customHeight="1" outlineLevel="1">
      <c r="A280" s="143" t="s">
        <v>870</v>
      </c>
      <c r="B280" s="204" t="s">
        <v>871</v>
      </c>
      <c r="C280" s="203" t="s">
        <v>483</v>
      </c>
      <c r="D280" s="204">
        <v>0</v>
      </c>
      <c r="E280" s="204"/>
      <c r="F280" s="204"/>
      <c r="G280" s="204">
        <v>100000</v>
      </c>
      <c r="H280" s="204"/>
      <c r="I280" s="204"/>
      <c r="J280" s="204"/>
      <c r="K280" s="204"/>
      <c r="L280" s="204"/>
      <c r="M280" s="204"/>
      <c r="N280" s="204"/>
      <c r="O280" s="204"/>
      <c r="P280" s="262">
        <f t="shared" si="108"/>
        <v>0</v>
      </c>
      <c r="Q280" s="262">
        <f t="shared" si="110"/>
        <v>100000</v>
      </c>
      <c r="R280" s="262">
        <f t="shared" si="111"/>
        <v>0</v>
      </c>
      <c r="S280" s="262">
        <f t="shared" si="112"/>
        <v>0</v>
      </c>
      <c r="T280" s="262">
        <f t="shared" si="116"/>
        <v>100000</v>
      </c>
      <c r="U280" s="399"/>
      <c r="V280" s="400"/>
      <c r="W280" s="144"/>
    </row>
    <row r="281" spans="1:23" s="139" customFormat="1" ht="27" hidden="1" customHeight="1" outlineLevel="1">
      <c r="A281" s="143" t="s">
        <v>872</v>
      </c>
      <c r="B281" s="204" t="s">
        <v>873</v>
      </c>
      <c r="C281" s="203" t="s">
        <v>483</v>
      </c>
      <c r="D281" s="204">
        <v>0</v>
      </c>
      <c r="E281" s="204"/>
      <c r="F281" s="204"/>
      <c r="G281" s="204">
        <v>30000</v>
      </c>
      <c r="H281" s="204"/>
      <c r="I281" s="204"/>
      <c r="J281" s="204"/>
      <c r="K281" s="204"/>
      <c r="L281" s="204"/>
      <c r="M281" s="204"/>
      <c r="N281" s="204"/>
      <c r="O281" s="204"/>
      <c r="P281" s="262">
        <f t="shared" si="108"/>
        <v>0</v>
      </c>
      <c r="Q281" s="262">
        <f t="shared" si="110"/>
        <v>30000</v>
      </c>
      <c r="R281" s="262">
        <f t="shared" si="111"/>
        <v>0</v>
      </c>
      <c r="S281" s="262">
        <f t="shared" si="112"/>
        <v>0</v>
      </c>
      <c r="T281" s="262">
        <f t="shared" si="116"/>
        <v>30000</v>
      </c>
      <c r="U281" s="399"/>
      <c r="V281" s="400"/>
      <c r="W281" s="144"/>
    </row>
    <row r="282" spans="1:23" s="139" customFormat="1" ht="27" hidden="1" customHeight="1" outlineLevel="1">
      <c r="A282" s="143" t="s">
        <v>874</v>
      </c>
      <c r="B282" s="204" t="s">
        <v>875</v>
      </c>
      <c r="C282" s="203" t="s">
        <v>483</v>
      </c>
      <c r="D282" s="204">
        <v>0</v>
      </c>
      <c r="E282" s="204"/>
      <c r="F282" s="204">
        <v>70000</v>
      </c>
      <c r="G282" s="204"/>
      <c r="H282" s="204"/>
      <c r="I282" s="204"/>
      <c r="J282" s="204"/>
      <c r="K282" s="204"/>
      <c r="L282" s="204"/>
      <c r="M282" s="204"/>
      <c r="N282" s="204"/>
      <c r="O282" s="204"/>
      <c r="P282" s="262">
        <f t="shared" si="108"/>
        <v>70000</v>
      </c>
      <c r="Q282" s="262">
        <f t="shared" si="110"/>
        <v>0</v>
      </c>
      <c r="R282" s="262">
        <f t="shared" si="111"/>
        <v>0</v>
      </c>
      <c r="S282" s="262">
        <f t="shared" si="112"/>
        <v>0</v>
      </c>
      <c r="T282" s="262">
        <f t="shared" si="116"/>
        <v>70000</v>
      </c>
      <c r="U282" s="399"/>
      <c r="V282" s="400"/>
      <c r="W282" s="144"/>
    </row>
    <row r="283" spans="1:23" s="139" customFormat="1" ht="27" hidden="1" customHeight="1" outlineLevel="1">
      <c r="A283" s="143" t="s">
        <v>876</v>
      </c>
      <c r="B283" s="204" t="s">
        <v>877</v>
      </c>
      <c r="C283" s="203" t="s">
        <v>483</v>
      </c>
      <c r="D283" s="204">
        <v>0</v>
      </c>
      <c r="E283" s="204"/>
      <c r="F283" s="204"/>
      <c r="G283" s="204"/>
      <c r="H283" s="204"/>
      <c r="I283" s="204">
        <v>130000</v>
      </c>
      <c r="J283" s="204"/>
      <c r="K283" s="204"/>
      <c r="L283" s="204"/>
      <c r="M283" s="204"/>
      <c r="N283" s="204"/>
      <c r="O283" s="204"/>
      <c r="P283" s="262">
        <f t="shared" si="108"/>
        <v>0</v>
      </c>
      <c r="Q283" s="262">
        <f t="shared" si="110"/>
        <v>130000</v>
      </c>
      <c r="R283" s="262">
        <f t="shared" si="111"/>
        <v>0</v>
      </c>
      <c r="S283" s="262">
        <f t="shared" si="112"/>
        <v>0</v>
      </c>
      <c r="T283" s="262">
        <f t="shared" si="116"/>
        <v>130000</v>
      </c>
      <c r="U283" s="399"/>
      <c r="V283" s="400"/>
      <c r="W283" s="144"/>
    </row>
    <row r="284" spans="1:23" s="139" customFormat="1" ht="27" hidden="1" customHeight="1" outlineLevel="1">
      <c r="A284" s="143" t="s">
        <v>878</v>
      </c>
      <c r="B284" s="204" t="s">
        <v>879</v>
      </c>
      <c r="C284" s="203" t="s">
        <v>483</v>
      </c>
      <c r="D284" s="204">
        <v>9000</v>
      </c>
      <c r="E284" s="204"/>
      <c r="F284" s="204"/>
      <c r="G284" s="204"/>
      <c r="H284" s="204"/>
      <c r="I284" s="204"/>
      <c r="J284" s="204"/>
      <c r="K284" s="204"/>
      <c r="L284" s="204"/>
      <c r="M284" s="204"/>
      <c r="N284" s="204"/>
      <c r="O284" s="204"/>
      <c r="P284" s="262">
        <f t="shared" si="108"/>
        <v>9000</v>
      </c>
      <c r="Q284" s="262">
        <f t="shared" si="110"/>
        <v>0</v>
      </c>
      <c r="R284" s="262">
        <f t="shared" si="111"/>
        <v>0</v>
      </c>
      <c r="S284" s="262">
        <f t="shared" si="112"/>
        <v>0</v>
      </c>
      <c r="T284" s="262">
        <f t="shared" si="116"/>
        <v>9000</v>
      </c>
      <c r="U284" s="399"/>
      <c r="V284" s="400"/>
      <c r="W284" s="144"/>
    </row>
    <row r="285" spans="1:23" s="139" customFormat="1" ht="39.6" hidden="1" outlineLevel="1">
      <c r="A285" s="143" t="s">
        <v>880</v>
      </c>
      <c r="B285" s="204" t="s">
        <v>881</v>
      </c>
      <c r="C285" s="203" t="s">
        <v>483</v>
      </c>
      <c r="D285" s="204">
        <v>0</v>
      </c>
      <c r="E285" s="204"/>
      <c r="F285" s="204">
        <v>370000</v>
      </c>
      <c r="G285" s="204"/>
      <c r="H285" s="204"/>
      <c r="I285" s="204"/>
      <c r="J285" s="204"/>
      <c r="K285" s="204"/>
      <c r="L285" s="204"/>
      <c r="M285" s="204"/>
      <c r="N285" s="204"/>
      <c r="O285" s="204"/>
      <c r="P285" s="262">
        <f t="shared" si="108"/>
        <v>370000</v>
      </c>
      <c r="Q285" s="262">
        <f t="shared" si="110"/>
        <v>0</v>
      </c>
      <c r="R285" s="262">
        <f t="shared" si="111"/>
        <v>0</v>
      </c>
      <c r="S285" s="262">
        <f t="shared" si="112"/>
        <v>0</v>
      </c>
      <c r="T285" s="262">
        <f t="shared" si="116"/>
        <v>370000</v>
      </c>
      <c r="U285" s="399"/>
      <c r="V285" s="400"/>
      <c r="W285" s="144"/>
    </row>
    <row r="286" spans="1:23" s="139" customFormat="1" ht="27" hidden="1" customHeight="1" outlineLevel="1">
      <c r="A286" s="143" t="s">
        <v>882</v>
      </c>
      <c r="B286" s="145" t="s">
        <v>883</v>
      </c>
      <c r="C286" s="203" t="s">
        <v>483</v>
      </c>
      <c r="D286" s="398">
        <v>0</v>
      </c>
      <c r="E286" s="261">
        <v>0</v>
      </c>
      <c r="F286" s="261">
        <v>0</v>
      </c>
      <c r="G286" s="261">
        <v>0</v>
      </c>
      <c r="H286" s="261">
        <v>25000</v>
      </c>
      <c r="I286" s="261"/>
      <c r="J286" s="261"/>
      <c r="K286" s="261"/>
      <c r="L286" s="261"/>
      <c r="M286" s="261"/>
      <c r="N286" s="261"/>
      <c r="O286" s="261"/>
      <c r="P286" s="262">
        <f t="shared" si="108"/>
        <v>0</v>
      </c>
      <c r="Q286" s="262">
        <f t="shared" si="110"/>
        <v>25000</v>
      </c>
      <c r="R286" s="262">
        <f t="shared" si="111"/>
        <v>0</v>
      </c>
      <c r="S286" s="262">
        <f t="shared" si="112"/>
        <v>0</v>
      </c>
      <c r="T286" s="262">
        <f t="shared" si="116"/>
        <v>25000</v>
      </c>
      <c r="U286" s="399"/>
      <c r="V286" s="400"/>
      <c r="W286" s="144"/>
    </row>
    <row r="287" spans="1:23" s="139" customFormat="1" ht="27" hidden="1" customHeight="1" outlineLevel="1">
      <c r="A287" s="143" t="s">
        <v>884</v>
      </c>
      <c r="B287" s="143" t="s">
        <v>885</v>
      </c>
      <c r="C287" s="203" t="s">
        <v>483</v>
      </c>
      <c r="D287" s="398">
        <v>0</v>
      </c>
      <c r="E287" s="261">
        <v>0</v>
      </c>
      <c r="F287" s="261">
        <v>0</v>
      </c>
      <c r="G287" s="261">
        <v>0</v>
      </c>
      <c r="H287" s="261">
        <v>0</v>
      </c>
      <c r="I287" s="261">
        <v>0</v>
      </c>
      <c r="J287" s="261">
        <v>0</v>
      </c>
      <c r="K287" s="261">
        <v>0</v>
      </c>
      <c r="L287" s="261">
        <v>300000</v>
      </c>
      <c r="M287" s="261">
        <v>0</v>
      </c>
      <c r="N287" s="261">
        <v>0</v>
      </c>
      <c r="O287" s="261">
        <v>0</v>
      </c>
      <c r="P287" s="262">
        <f t="shared" si="108"/>
        <v>0</v>
      </c>
      <c r="Q287" s="262">
        <f t="shared" si="110"/>
        <v>0</v>
      </c>
      <c r="R287" s="262">
        <f t="shared" si="111"/>
        <v>300000</v>
      </c>
      <c r="S287" s="262">
        <f t="shared" si="112"/>
        <v>0</v>
      </c>
      <c r="T287" s="262">
        <f t="shared" si="116"/>
        <v>300000</v>
      </c>
      <c r="U287" s="399"/>
      <c r="V287" s="400"/>
      <c r="W287" s="144"/>
    </row>
    <row r="288" spans="1:23" s="139" customFormat="1" ht="27" hidden="1" customHeight="1" outlineLevel="1">
      <c r="A288" s="143" t="s">
        <v>886</v>
      </c>
      <c r="B288" s="383" t="s">
        <v>887</v>
      </c>
      <c r="C288" s="203" t="s">
        <v>483</v>
      </c>
      <c r="D288" s="265">
        <v>0</v>
      </c>
      <c r="E288" s="261">
        <v>0</v>
      </c>
      <c r="F288" s="265">
        <v>0</v>
      </c>
      <c r="G288" s="265">
        <v>300000</v>
      </c>
      <c r="H288" s="261">
        <v>0</v>
      </c>
      <c r="I288" s="261">
        <v>0</v>
      </c>
      <c r="J288" s="261">
        <v>0</v>
      </c>
      <c r="K288" s="261">
        <v>0</v>
      </c>
      <c r="L288" s="261">
        <v>0</v>
      </c>
      <c r="M288" s="261">
        <v>0</v>
      </c>
      <c r="N288" s="261">
        <v>0</v>
      </c>
      <c r="O288" s="261">
        <v>0</v>
      </c>
      <c r="P288" s="262">
        <f t="shared" si="108"/>
        <v>0</v>
      </c>
      <c r="Q288" s="262">
        <f t="shared" si="110"/>
        <v>300000</v>
      </c>
      <c r="R288" s="262">
        <f t="shared" si="111"/>
        <v>0</v>
      </c>
      <c r="S288" s="262">
        <f t="shared" si="112"/>
        <v>0</v>
      </c>
      <c r="T288" s="262">
        <f t="shared" si="116"/>
        <v>300000</v>
      </c>
      <c r="U288" s="399"/>
      <c r="V288" s="400"/>
      <c r="W288" s="144"/>
    </row>
    <row r="289" spans="1:23" s="139" customFormat="1" ht="27" hidden="1" customHeight="1" outlineLevel="1">
      <c r="A289" s="143" t="s">
        <v>888</v>
      </c>
      <c r="B289" s="383" t="s">
        <v>889</v>
      </c>
      <c r="C289" s="203" t="s">
        <v>483</v>
      </c>
      <c r="D289" s="265"/>
      <c r="E289" s="261">
        <v>0</v>
      </c>
      <c r="F289" s="261">
        <v>0</v>
      </c>
      <c r="G289" s="261">
        <v>0</v>
      </c>
      <c r="H289" s="261">
        <v>0</v>
      </c>
      <c r="I289" s="261">
        <v>0</v>
      </c>
      <c r="J289" s="261">
        <v>0</v>
      </c>
      <c r="K289" s="261">
        <v>0</v>
      </c>
      <c r="L289" s="261">
        <v>0</v>
      </c>
      <c r="M289" s="261">
        <v>0</v>
      </c>
      <c r="N289" s="261">
        <v>0</v>
      </c>
      <c r="O289" s="261">
        <v>0</v>
      </c>
      <c r="P289" s="262">
        <f t="shared" si="108"/>
        <v>0</v>
      </c>
      <c r="Q289" s="262">
        <f t="shared" si="110"/>
        <v>0</v>
      </c>
      <c r="R289" s="262">
        <f t="shared" si="111"/>
        <v>0</v>
      </c>
      <c r="S289" s="262">
        <f t="shared" si="112"/>
        <v>0</v>
      </c>
      <c r="T289" s="262">
        <f t="shared" si="116"/>
        <v>0</v>
      </c>
      <c r="U289" s="399"/>
      <c r="V289" s="400"/>
      <c r="W289" s="144"/>
    </row>
    <row r="290" spans="1:23" s="139" customFormat="1" ht="27" hidden="1" customHeight="1" outlineLevel="1">
      <c r="A290" s="143" t="s">
        <v>890</v>
      </c>
      <c r="B290" s="145" t="s">
        <v>891</v>
      </c>
      <c r="C290" s="203" t="s">
        <v>483</v>
      </c>
      <c r="D290" s="265"/>
      <c r="E290" s="261">
        <v>0</v>
      </c>
      <c r="F290" s="261">
        <v>0</v>
      </c>
      <c r="G290" s="261">
        <v>0</v>
      </c>
      <c r="H290" s="261">
        <v>0</v>
      </c>
      <c r="I290" s="261">
        <v>0</v>
      </c>
      <c r="J290" s="261">
        <v>0</v>
      </c>
      <c r="K290" s="261">
        <v>0</v>
      </c>
      <c r="L290" s="261">
        <v>0</v>
      </c>
      <c r="M290" s="261">
        <v>0</v>
      </c>
      <c r="N290" s="261">
        <v>0</v>
      </c>
      <c r="O290" s="261">
        <v>0</v>
      </c>
      <c r="P290" s="262">
        <f t="shared" si="108"/>
        <v>0</v>
      </c>
      <c r="Q290" s="262">
        <f t="shared" si="110"/>
        <v>0</v>
      </c>
      <c r="R290" s="262">
        <f t="shared" si="111"/>
        <v>0</v>
      </c>
      <c r="S290" s="262">
        <f t="shared" si="112"/>
        <v>0</v>
      </c>
      <c r="T290" s="262">
        <f t="shared" ref="T290:T301" si="117">SUM(D290:O290)</f>
        <v>0</v>
      </c>
      <c r="U290" s="399"/>
      <c r="V290" s="400"/>
      <c r="W290" s="144"/>
    </row>
    <row r="291" spans="1:23" s="351" customFormat="1" ht="27" hidden="1" customHeight="1" outlineLevel="1">
      <c r="A291" s="143" t="s">
        <v>892</v>
      </c>
      <c r="B291" s="145" t="s">
        <v>893</v>
      </c>
      <c r="C291" s="203" t="s">
        <v>842</v>
      </c>
      <c r="D291" s="391">
        <v>3000</v>
      </c>
      <c r="E291" s="391">
        <v>3000</v>
      </c>
      <c r="F291" s="391">
        <v>3000</v>
      </c>
      <c r="G291" s="391">
        <v>3000</v>
      </c>
      <c r="H291" s="391">
        <v>3000</v>
      </c>
      <c r="I291" s="391">
        <v>3000</v>
      </c>
      <c r="J291" s="391">
        <v>3000</v>
      </c>
      <c r="K291" s="391">
        <v>3000</v>
      </c>
      <c r="L291" s="391">
        <v>3000</v>
      </c>
      <c r="M291" s="391">
        <v>3000</v>
      </c>
      <c r="N291" s="391">
        <v>3000</v>
      </c>
      <c r="O291" s="391">
        <v>3000</v>
      </c>
      <c r="P291" s="262">
        <f t="shared" si="108"/>
        <v>9000</v>
      </c>
      <c r="Q291" s="262">
        <f t="shared" si="110"/>
        <v>9000</v>
      </c>
      <c r="R291" s="262">
        <f t="shared" si="111"/>
        <v>9000</v>
      </c>
      <c r="S291" s="262">
        <f t="shared" si="112"/>
        <v>9000</v>
      </c>
      <c r="T291" s="262">
        <f>SUM(D291:O291)</f>
        <v>36000</v>
      </c>
      <c r="U291" s="399"/>
      <c r="V291" s="400"/>
      <c r="W291" s="144"/>
    </row>
    <row r="292" spans="1:23" s="351" customFormat="1" ht="27" hidden="1" customHeight="1" outlineLevel="1">
      <c r="A292" s="143" t="s">
        <v>894</v>
      </c>
      <c r="B292" s="412" t="s">
        <v>895</v>
      </c>
      <c r="C292" s="228" t="s">
        <v>559</v>
      </c>
      <c r="D292" s="265">
        <v>0</v>
      </c>
      <c r="E292" s="265">
        <v>0</v>
      </c>
      <c r="F292" s="265">
        <v>0</v>
      </c>
      <c r="G292" s="265"/>
      <c r="H292" s="265"/>
      <c r="I292" s="265"/>
      <c r="J292" s="265"/>
      <c r="K292" s="265"/>
      <c r="L292" s="265"/>
      <c r="M292" s="265"/>
      <c r="N292" s="265"/>
      <c r="O292" s="265"/>
      <c r="P292" s="262">
        <f t="shared" si="108"/>
        <v>0</v>
      </c>
      <c r="Q292" s="262">
        <f t="shared" si="110"/>
        <v>0</v>
      </c>
      <c r="R292" s="262">
        <f t="shared" si="111"/>
        <v>0</v>
      </c>
      <c r="S292" s="262">
        <f t="shared" si="112"/>
        <v>0</v>
      </c>
      <c r="T292" s="262">
        <f>SUM(D292:O292)</f>
        <v>0</v>
      </c>
      <c r="U292" s="399"/>
      <c r="V292" s="400"/>
      <c r="W292" s="144"/>
    </row>
    <row r="293" spans="1:23" s="353" customFormat="1" ht="27" hidden="1" customHeight="1" outlineLevel="1">
      <c r="A293" s="143" t="s">
        <v>896</v>
      </c>
      <c r="B293" s="143" t="s">
        <v>897</v>
      </c>
      <c r="C293" s="163" t="s">
        <v>355</v>
      </c>
      <c r="D293" s="263"/>
      <c r="E293" s="263"/>
      <c r="F293" s="263"/>
      <c r="G293" s="263">
        <v>100000</v>
      </c>
      <c r="H293" s="263">
        <v>200000</v>
      </c>
      <c r="I293" s="263">
        <v>100000</v>
      </c>
      <c r="J293" s="263">
        <v>100000</v>
      </c>
      <c r="K293" s="263">
        <v>100000</v>
      </c>
      <c r="L293" s="263">
        <v>100000</v>
      </c>
      <c r="M293" s="263">
        <v>100000</v>
      </c>
      <c r="N293" s="263">
        <v>100000</v>
      </c>
      <c r="O293" s="263">
        <v>100000</v>
      </c>
      <c r="P293" s="262">
        <f t="shared" si="108"/>
        <v>0</v>
      </c>
      <c r="Q293" s="262">
        <f t="shared" si="110"/>
        <v>400000</v>
      </c>
      <c r="R293" s="262">
        <f t="shared" si="111"/>
        <v>300000</v>
      </c>
      <c r="S293" s="262">
        <f t="shared" si="112"/>
        <v>300000</v>
      </c>
      <c r="T293" s="261">
        <f>SUM(D293:O293)</f>
        <v>1000000</v>
      </c>
      <c r="U293" s="380"/>
      <c r="V293" s="413"/>
      <c r="W293" s="380"/>
    </row>
    <row r="294" spans="1:23" s="139" customFormat="1" ht="27" hidden="1" customHeight="1" outlineLevel="1">
      <c r="A294" s="143" t="s">
        <v>898</v>
      </c>
      <c r="B294" s="317" t="s">
        <v>899</v>
      </c>
      <c r="C294" s="203" t="s">
        <v>842</v>
      </c>
      <c r="D294" s="414">
        <v>3600</v>
      </c>
      <c r="E294" s="415" t="s">
        <v>358</v>
      </c>
      <c r="F294" s="415">
        <v>1800</v>
      </c>
      <c r="G294" s="415" t="s">
        <v>358</v>
      </c>
      <c r="H294" s="415">
        <v>1800</v>
      </c>
      <c r="I294" s="415" t="s">
        <v>358</v>
      </c>
      <c r="J294" s="415">
        <v>1800</v>
      </c>
      <c r="K294" s="415" t="s">
        <v>358</v>
      </c>
      <c r="L294" s="415">
        <v>1800</v>
      </c>
      <c r="M294" s="415" t="s">
        <v>358</v>
      </c>
      <c r="N294" s="415" t="s">
        <v>358</v>
      </c>
      <c r="O294" s="261"/>
      <c r="P294" s="262">
        <f t="shared" si="108"/>
        <v>5400</v>
      </c>
      <c r="Q294" s="262">
        <f t="shared" si="110"/>
        <v>1800</v>
      </c>
      <c r="R294" s="262">
        <f t="shared" si="111"/>
        <v>3600</v>
      </c>
      <c r="S294" s="262">
        <f t="shared" si="112"/>
        <v>0</v>
      </c>
      <c r="T294" s="262">
        <f t="shared" si="117"/>
        <v>10800</v>
      </c>
      <c r="U294" s="399"/>
      <c r="V294" s="400"/>
      <c r="W294" s="144"/>
    </row>
    <row r="295" spans="1:23" s="139" customFormat="1" ht="27" hidden="1" customHeight="1" outlineLevel="1">
      <c r="A295" s="143" t="s">
        <v>900</v>
      </c>
      <c r="B295" s="317"/>
      <c r="C295" s="229"/>
      <c r="D295" s="265"/>
      <c r="E295" s="261"/>
      <c r="F295" s="261"/>
      <c r="G295" s="261"/>
      <c r="H295" s="261"/>
      <c r="I295" s="261"/>
      <c r="J295" s="261"/>
      <c r="K295" s="261"/>
      <c r="L295" s="261"/>
      <c r="M295" s="261"/>
      <c r="N295" s="261"/>
      <c r="O295" s="261"/>
      <c r="P295" s="262">
        <f t="shared" ref="P295:P301" si="118">SUM(D295:F295)</f>
        <v>0</v>
      </c>
      <c r="Q295" s="262">
        <f t="shared" si="110"/>
        <v>0</v>
      </c>
      <c r="R295" s="262">
        <f t="shared" si="111"/>
        <v>0</v>
      </c>
      <c r="S295" s="262">
        <f t="shared" si="112"/>
        <v>0</v>
      </c>
      <c r="T295" s="262">
        <f t="shared" si="117"/>
        <v>0</v>
      </c>
      <c r="U295" s="399"/>
      <c r="V295" s="400"/>
      <c r="W295" s="144"/>
    </row>
    <row r="296" spans="1:23" ht="27" hidden="1" customHeight="1" outlineLevel="1">
      <c r="A296" s="143" t="s">
        <v>901</v>
      </c>
      <c r="B296" s="317"/>
      <c r="C296" s="229"/>
      <c r="D296" s="265"/>
      <c r="E296" s="261"/>
      <c r="F296" s="261"/>
      <c r="G296" s="261"/>
      <c r="H296" s="261"/>
      <c r="I296" s="261"/>
      <c r="J296" s="261"/>
      <c r="K296" s="261"/>
      <c r="L296" s="261"/>
      <c r="M296" s="261"/>
      <c r="N296" s="261"/>
      <c r="O296" s="261"/>
      <c r="P296" s="262">
        <f t="shared" si="118"/>
        <v>0</v>
      </c>
      <c r="Q296" s="262">
        <f t="shared" ref="Q296:Q301" si="119">SUM(G296:I296)</f>
        <v>0</v>
      </c>
      <c r="R296" s="262">
        <f t="shared" ref="R296:R301" si="120">SUM(J296:L296)</f>
        <v>0</v>
      </c>
      <c r="S296" s="262">
        <f t="shared" ref="S296:S301" si="121">SUM(M296:O296)</f>
        <v>0</v>
      </c>
      <c r="T296" s="262">
        <f t="shared" si="117"/>
        <v>0</v>
      </c>
      <c r="U296" s="399"/>
      <c r="V296" s="400"/>
      <c r="W296" s="144"/>
    </row>
    <row r="297" spans="1:23" s="157" customFormat="1" ht="27" hidden="1" customHeight="1" outlineLevel="1">
      <c r="A297" s="138" t="s">
        <v>902</v>
      </c>
      <c r="B297" s="317"/>
      <c r="C297" s="229"/>
      <c r="D297" s="265"/>
      <c r="E297" s="261"/>
      <c r="F297" s="261"/>
      <c r="G297" s="261"/>
      <c r="H297" s="261"/>
      <c r="I297" s="261"/>
      <c r="J297" s="261"/>
      <c r="K297" s="261"/>
      <c r="L297" s="261"/>
      <c r="M297" s="261"/>
      <c r="N297" s="261"/>
      <c r="O297" s="261"/>
      <c r="P297" s="262">
        <f t="shared" si="118"/>
        <v>0</v>
      </c>
      <c r="Q297" s="262">
        <f t="shared" si="119"/>
        <v>0</v>
      </c>
      <c r="R297" s="262">
        <f t="shared" si="120"/>
        <v>0</v>
      </c>
      <c r="S297" s="262">
        <f t="shared" si="121"/>
        <v>0</v>
      </c>
      <c r="T297" s="262">
        <f t="shared" si="117"/>
        <v>0</v>
      </c>
      <c r="U297" s="427"/>
      <c r="V297" s="428"/>
    </row>
    <row r="298" spans="1:23" ht="27" hidden="1" customHeight="1" outlineLevel="1">
      <c r="A298" s="138" t="s">
        <v>903</v>
      </c>
      <c r="B298" s="317"/>
      <c r="C298" s="229"/>
      <c r="D298" s="265"/>
      <c r="E298" s="261"/>
      <c r="F298" s="261"/>
      <c r="G298" s="261"/>
      <c r="H298" s="261"/>
      <c r="I298" s="261"/>
      <c r="J298" s="261"/>
      <c r="K298" s="261"/>
      <c r="L298" s="261"/>
      <c r="M298" s="261"/>
      <c r="N298" s="261"/>
      <c r="O298" s="261"/>
      <c r="P298" s="262">
        <f t="shared" si="118"/>
        <v>0</v>
      </c>
      <c r="Q298" s="262">
        <f t="shared" si="119"/>
        <v>0</v>
      </c>
      <c r="R298" s="262">
        <f t="shared" si="120"/>
        <v>0</v>
      </c>
      <c r="S298" s="262">
        <f t="shared" si="121"/>
        <v>0</v>
      </c>
      <c r="T298" s="262">
        <f t="shared" si="117"/>
        <v>0</v>
      </c>
      <c r="U298" s="427"/>
      <c r="V298" s="428"/>
    </row>
    <row r="299" spans="1:23" s="139" customFormat="1" ht="27" hidden="1" customHeight="1" outlineLevel="1">
      <c r="A299" s="138" t="s">
        <v>904</v>
      </c>
      <c r="B299" s="317"/>
      <c r="C299" s="229"/>
      <c r="D299" s="265"/>
      <c r="E299" s="261"/>
      <c r="F299" s="261"/>
      <c r="G299" s="261"/>
      <c r="H299" s="261"/>
      <c r="I299" s="261"/>
      <c r="J299" s="261"/>
      <c r="K299" s="261"/>
      <c r="L299" s="261"/>
      <c r="M299" s="261"/>
      <c r="N299" s="261"/>
      <c r="O299" s="261"/>
      <c r="P299" s="262">
        <f t="shared" si="118"/>
        <v>0</v>
      </c>
      <c r="Q299" s="262">
        <f t="shared" si="119"/>
        <v>0</v>
      </c>
      <c r="R299" s="262">
        <f t="shared" si="120"/>
        <v>0</v>
      </c>
      <c r="S299" s="262">
        <f t="shared" si="121"/>
        <v>0</v>
      </c>
      <c r="T299" s="262">
        <f t="shared" si="117"/>
        <v>0</v>
      </c>
      <c r="U299" s="427"/>
      <c r="V299" s="428"/>
    </row>
    <row r="300" spans="1:23" ht="27" hidden="1" customHeight="1" outlineLevel="1">
      <c r="A300" s="138" t="s">
        <v>905</v>
      </c>
      <c r="B300" s="317"/>
      <c r="C300" s="229"/>
      <c r="D300" s="265"/>
      <c r="E300" s="261"/>
      <c r="F300" s="261"/>
      <c r="G300" s="261"/>
      <c r="H300" s="261"/>
      <c r="I300" s="261"/>
      <c r="J300" s="261"/>
      <c r="K300" s="261"/>
      <c r="L300" s="261"/>
      <c r="M300" s="261"/>
      <c r="N300" s="261"/>
      <c r="O300" s="261"/>
      <c r="P300" s="262">
        <f t="shared" si="118"/>
        <v>0</v>
      </c>
      <c r="Q300" s="262">
        <f t="shared" si="119"/>
        <v>0</v>
      </c>
      <c r="R300" s="262">
        <f t="shared" si="120"/>
        <v>0</v>
      </c>
      <c r="S300" s="262">
        <f t="shared" si="121"/>
        <v>0</v>
      </c>
      <c r="T300" s="262">
        <f t="shared" si="117"/>
        <v>0</v>
      </c>
      <c r="U300" s="427"/>
      <c r="V300" s="428"/>
    </row>
    <row r="301" spans="1:23" ht="27" hidden="1" customHeight="1" outlineLevel="1">
      <c r="A301" s="138" t="s">
        <v>906</v>
      </c>
      <c r="B301" s="317"/>
      <c r="C301" s="229"/>
      <c r="D301" s="265"/>
      <c r="E301" s="261"/>
      <c r="F301" s="261"/>
      <c r="G301" s="261"/>
      <c r="H301" s="261"/>
      <c r="I301" s="261"/>
      <c r="J301" s="261"/>
      <c r="K301" s="261"/>
      <c r="L301" s="261"/>
      <c r="M301" s="261"/>
      <c r="N301" s="261"/>
      <c r="O301" s="261"/>
      <c r="P301" s="262">
        <f t="shared" si="118"/>
        <v>0</v>
      </c>
      <c r="Q301" s="262">
        <f t="shared" si="119"/>
        <v>0</v>
      </c>
      <c r="R301" s="262">
        <f t="shared" si="120"/>
        <v>0</v>
      </c>
      <c r="S301" s="262">
        <f t="shared" si="121"/>
        <v>0</v>
      </c>
      <c r="T301" s="262">
        <f t="shared" si="117"/>
        <v>0</v>
      </c>
      <c r="U301" s="427"/>
      <c r="V301" s="428"/>
    </row>
    <row r="302" spans="1:23" ht="27" customHeight="1" collapsed="1">
      <c r="A302" s="160"/>
      <c r="B302" s="161" t="s">
        <v>907</v>
      </c>
      <c r="C302" s="162"/>
      <c r="D302" s="234">
        <f>SUM(D231:D301)</f>
        <v>30974.75</v>
      </c>
      <c r="E302" s="234">
        <f t="shared" ref="E302:O302" si="122">SUM(E231:E301)</f>
        <v>589379.85000000009</v>
      </c>
      <c r="F302" s="234">
        <f t="shared" si="122"/>
        <v>1841759.8499999999</v>
      </c>
      <c r="G302" s="234">
        <f t="shared" si="122"/>
        <v>1412539.85</v>
      </c>
      <c r="H302" s="234">
        <f t="shared" si="122"/>
        <v>654230.85000000009</v>
      </c>
      <c r="I302" s="234">
        <f t="shared" si="122"/>
        <v>1310830.8499999999</v>
      </c>
      <c r="J302" s="234">
        <f t="shared" si="122"/>
        <v>1832630.8499999999</v>
      </c>
      <c r="K302" s="234">
        <f t="shared" si="122"/>
        <v>2091119.8499999999</v>
      </c>
      <c r="L302" s="234">
        <f t="shared" si="122"/>
        <v>1750830.8499999999</v>
      </c>
      <c r="M302" s="234">
        <f t="shared" si="122"/>
        <v>1144430.8500000001</v>
      </c>
      <c r="N302" s="234">
        <f t="shared" si="122"/>
        <v>1140830.8500000001</v>
      </c>
      <c r="O302" s="234">
        <f t="shared" si="122"/>
        <v>1050830.8500000001</v>
      </c>
      <c r="P302" s="234">
        <f t="shared" ref="P302" si="123">SUM(D302:F302)</f>
        <v>2462114.4500000002</v>
      </c>
      <c r="Q302" s="234">
        <f t="shared" ref="Q302" si="124">SUM(G302:I302)</f>
        <v>3377601.55</v>
      </c>
      <c r="R302" s="234">
        <f t="shared" ref="R302" si="125">SUM(J302:L302)</f>
        <v>5674581.5499999998</v>
      </c>
      <c r="S302" s="234">
        <f>SUM(M302:O302)</f>
        <v>3336092.5500000003</v>
      </c>
      <c r="T302" s="234">
        <f>SUM(T231:T301)</f>
        <v>14850390.100000001</v>
      </c>
      <c r="U302" s="419">
        <f>T302/$T$315</f>
        <v>6.9848231741743497E-2</v>
      </c>
    </row>
    <row r="303" spans="1:23" ht="27" customHeight="1">
      <c r="A303" s="158" t="s">
        <v>908</v>
      </c>
      <c r="B303" s="158" t="s">
        <v>909</v>
      </c>
      <c r="C303" s="159" t="s">
        <v>335</v>
      </c>
      <c r="D303" s="202" t="s">
        <v>336</v>
      </c>
      <c r="E303" s="202" t="s">
        <v>337</v>
      </c>
      <c r="F303" s="202" t="s">
        <v>338</v>
      </c>
      <c r="G303" s="202" t="s">
        <v>339</v>
      </c>
      <c r="H303" s="202" t="s">
        <v>340</v>
      </c>
      <c r="I303" s="202" t="s">
        <v>341</v>
      </c>
      <c r="J303" s="202" t="s">
        <v>342</v>
      </c>
      <c r="K303" s="202" t="s">
        <v>343</v>
      </c>
      <c r="L303" s="202" t="s">
        <v>344</v>
      </c>
      <c r="M303" s="202" t="s">
        <v>345</v>
      </c>
      <c r="N303" s="202" t="s">
        <v>346</v>
      </c>
      <c r="O303" s="202" t="s">
        <v>347</v>
      </c>
      <c r="P303" s="202" t="s">
        <v>348</v>
      </c>
      <c r="Q303" s="202" t="s">
        <v>349</v>
      </c>
      <c r="R303" s="202" t="s">
        <v>350</v>
      </c>
      <c r="S303" s="202" t="s">
        <v>351</v>
      </c>
      <c r="T303" s="202" t="s">
        <v>352</v>
      </c>
    </row>
    <row r="304" spans="1:23" ht="27" customHeight="1" outlineLevel="1">
      <c r="A304" s="143" t="s">
        <v>910</v>
      </c>
      <c r="B304" s="143" t="s">
        <v>218</v>
      </c>
      <c r="C304" s="163" t="s">
        <v>355</v>
      </c>
      <c r="D304" s="265">
        <f t="shared" ref="D304:O304" si="126">(D302+D229+D213+D191+D184+D172+D148+D125+D92+D76+D72+D58+D41+D36)*0.01</f>
        <v>178895.83379999996</v>
      </c>
      <c r="E304" s="265">
        <f t="shared" si="126"/>
        <v>188434.82309999995</v>
      </c>
      <c r="F304" s="265">
        <f t="shared" si="126"/>
        <v>205076.13183250002</v>
      </c>
      <c r="G304" s="265">
        <f t="shared" si="126"/>
        <v>201866.71164250001</v>
      </c>
      <c r="H304" s="265">
        <f t="shared" si="126"/>
        <v>226097.14544249998</v>
      </c>
      <c r="I304" s="265">
        <f t="shared" si="126"/>
        <v>202151.0838425</v>
      </c>
      <c r="J304" s="265">
        <f t="shared" si="126"/>
        <v>207514.9649425</v>
      </c>
      <c r="K304" s="265">
        <f t="shared" si="126"/>
        <v>213569.4937425</v>
      </c>
      <c r="L304" s="265">
        <f t="shared" si="126"/>
        <v>212169.59044249996</v>
      </c>
      <c r="M304" s="265">
        <f t="shared" si="126"/>
        <v>208292.52148749999</v>
      </c>
      <c r="N304" s="265">
        <f t="shared" si="126"/>
        <v>208034.18378750005</v>
      </c>
      <c r="O304" s="265">
        <f t="shared" si="126"/>
        <v>245177.81138750003</v>
      </c>
      <c r="P304" s="262">
        <f>SUM(D304:F304)</f>
        <v>572406.78873249993</v>
      </c>
      <c r="Q304" s="262">
        <f>SUM(G304:I304)</f>
        <v>630114.94092750002</v>
      </c>
      <c r="R304" s="262">
        <f>SUM(J304:L304)</f>
        <v>633254.04912749992</v>
      </c>
      <c r="S304" s="262">
        <f>SUM(M304:O304)</f>
        <v>661504.5166625001</v>
      </c>
      <c r="T304" s="261">
        <f>SUM(D304:O304)</f>
        <v>2497280.2954500001</v>
      </c>
    </row>
    <row r="305" spans="1:22" ht="27" customHeight="1">
      <c r="A305" s="160"/>
      <c r="B305" s="161" t="s">
        <v>911</v>
      </c>
      <c r="C305" s="162"/>
      <c r="D305" s="234">
        <f>SUM(D304)</f>
        <v>178895.83379999996</v>
      </c>
      <c r="E305" s="234">
        <f t="shared" ref="E305:O305" si="127">SUM(E304)</f>
        <v>188434.82309999995</v>
      </c>
      <c r="F305" s="234">
        <f t="shared" si="127"/>
        <v>205076.13183250002</v>
      </c>
      <c r="G305" s="234">
        <f t="shared" si="127"/>
        <v>201866.71164250001</v>
      </c>
      <c r="H305" s="234">
        <f t="shared" si="127"/>
        <v>226097.14544249998</v>
      </c>
      <c r="I305" s="234">
        <f t="shared" si="127"/>
        <v>202151.0838425</v>
      </c>
      <c r="J305" s="234">
        <f t="shared" si="127"/>
        <v>207514.9649425</v>
      </c>
      <c r="K305" s="234">
        <f t="shared" si="127"/>
        <v>213569.4937425</v>
      </c>
      <c r="L305" s="234">
        <f t="shared" si="127"/>
        <v>212169.59044249996</v>
      </c>
      <c r="M305" s="234">
        <f t="shared" si="127"/>
        <v>208292.52148749999</v>
      </c>
      <c r="N305" s="234">
        <f t="shared" si="127"/>
        <v>208034.18378750005</v>
      </c>
      <c r="O305" s="234">
        <f t="shared" si="127"/>
        <v>245177.81138750003</v>
      </c>
      <c r="P305" s="234">
        <f t="shared" ref="P305" si="128">SUM(D305:F305)</f>
        <v>572406.78873249993</v>
      </c>
      <c r="Q305" s="234">
        <f t="shared" ref="Q305" si="129">SUM(G305:I305)</f>
        <v>630114.94092750002</v>
      </c>
      <c r="R305" s="234">
        <f t="shared" ref="R305" si="130">SUM(J305:L305)</f>
        <v>633254.04912749992</v>
      </c>
      <c r="S305" s="234">
        <f t="shared" ref="S305" si="131">SUM(M305:O305)</f>
        <v>661504.5166625001</v>
      </c>
      <c r="T305" s="234">
        <f>SUM(T304)</f>
        <v>2497280.2954500001</v>
      </c>
      <c r="U305" s="419">
        <f>T305/$T$315</f>
        <v>1.1745860655921843E-2</v>
      </c>
    </row>
    <row r="306" spans="1:22" ht="27" customHeight="1">
      <c r="A306" s="160"/>
      <c r="B306" s="177" t="s">
        <v>219</v>
      </c>
      <c r="C306" s="178"/>
      <c r="D306" s="318">
        <f t="shared" ref="D306:S306" si="132">D305+D302+D229+D213+D191+D184+D172+D148+D125+D92+D76+D72+D58+D41+D36</f>
        <v>18068479.213799998</v>
      </c>
      <c r="E306" s="318">
        <f t="shared" si="132"/>
        <v>19031917.133099996</v>
      </c>
      <c r="F306" s="318">
        <f t="shared" si="132"/>
        <v>20712689.315082498</v>
      </c>
      <c r="G306" s="318">
        <f t="shared" si="132"/>
        <v>20388537.875892498</v>
      </c>
      <c r="H306" s="318">
        <f t="shared" si="132"/>
        <v>22835811.689692497</v>
      </c>
      <c r="I306" s="318">
        <f t="shared" si="132"/>
        <v>20417259.468092501</v>
      </c>
      <c r="J306" s="318">
        <f t="shared" si="132"/>
        <v>20959011.4591925</v>
      </c>
      <c r="K306" s="318">
        <f t="shared" si="132"/>
        <v>21570518.867992498</v>
      </c>
      <c r="L306" s="318">
        <f t="shared" si="132"/>
        <v>21429128.634692498</v>
      </c>
      <c r="M306" s="318">
        <f t="shared" si="132"/>
        <v>21037544.6702375</v>
      </c>
      <c r="N306" s="318">
        <f t="shared" si="132"/>
        <v>21011452.562537502</v>
      </c>
      <c r="O306" s="318">
        <f t="shared" si="132"/>
        <v>24762958.950137503</v>
      </c>
      <c r="P306" s="318">
        <f t="shared" si="132"/>
        <v>57813085.661982499</v>
      </c>
      <c r="Q306" s="318">
        <f t="shared" si="132"/>
        <v>63641609.033677496</v>
      </c>
      <c r="R306" s="318">
        <f t="shared" si="132"/>
        <v>63958658.961877495</v>
      </c>
      <c r="S306" s="318">
        <f t="shared" si="132"/>
        <v>66811956.182912506</v>
      </c>
      <c r="T306" s="318">
        <f>SUM(C306:O306)</f>
        <v>252225309.84044999</v>
      </c>
      <c r="U306" s="419">
        <f>T306/$T$315</f>
        <v>1.186331926248106</v>
      </c>
      <c r="V306" s="172"/>
    </row>
    <row r="307" spans="1:22" ht="27" customHeight="1">
      <c r="A307" s="138"/>
      <c r="B307" s="179"/>
      <c r="C307" s="147"/>
      <c r="D307" s="236" t="s">
        <v>358</v>
      </c>
      <c r="E307" s="233" t="s">
        <v>358</v>
      </c>
      <c r="F307" s="233" t="s">
        <v>358</v>
      </c>
      <c r="G307" s="233" t="s">
        <v>358</v>
      </c>
      <c r="H307" s="233" t="s">
        <v>358</v>
      </c>
      <c r="I307" s="233" t="s">
        <v>358</v>
      </c>
      <c r="J307" s="233" t="s">
        <v>358</v>
      </c>
      <c r="K307" s="233" t="s">
        <v>358</v>
      </c>
      <c r="L307" s="233" t="s">
        <v>358</v>
      </c>
      <c r="M307" s="233" t="s">
        <v>358</v>
      </c>
      <c r="N307" s="233" t="s">
        <v>358</v>
      </c>
      <c r="O307" s="233" t="s">
        <v>358</v>
      </c>
      <c r="P307" s="233"/>
      <c r="Q307" s="233"/>
      <c r="R307" s="233"/>
      <c r="S307" s="233"/>
      <c r="T307" s="233" t="s">
        <v>912</v>
      </c>
    </row>
    <row r="308" spans="1:22" ht="27" customHeight="1">
      <c r="A308" s="160"/>
      <c r="B308" s="206" t="s">
        <v>220</v>
      </c>
      <c r="C308" s="207"/>
      <c r="D308" s="238"/>
      <c r="E308" s="238"/>
      <c r="F308" s="238"/>
      <c r="G308" s="238"/>
      <c r="H308" s="238"/>
      <c r="I308" s="238"/>
      <c r="J308" s="238"/>
      <c r="K308" s="238"/>
      <c r="L308" s="238"/>
      <c r="M308" s="238"/>
      <c r="N308" s="238"/>
      <c r="O308" s="323"/>
      <c r="P308" s="238"/>
      <c r="Q308" s="238"/>
      <c r="R308" s="238"/>
      <c r="S308" s="238"/>
      <c r="T308" s="238"/>
    </row>
    <row r="309" spans="1:22" ht="27" customHeight="1">
      <c r="A309" s="138"/>
      <c r="B309" s="179"/>
      <c r="C309" s="203"/>
      <c r="D309" s="265"/>
      <c r="E309" s="239"/>
      <c r="F309" s="239"/>
      <c r="G309" s="239"/>
      <c r="H309" s="239"/>
      <c r="I309" s="239"/>
      <c r="J309" s="239"/>
      <c r="K309" s="239"/>
      <c r="L309" s="239"/>
      <c r="M309" s="239"/>
      <c r="N309" s="239"/>
      <c r="O309" s="239"/>
      <c r="P309" s="322"/>
      <c r="Q309" s="322"/>
      <c r="R309" s="322"/>
      <c r="S309" s="322"/>
      <c r="T309" s="262"/>
    </row>
    <row r="310" spans="1:22" ht="27" customHeight="1">
      <c r="A310" s="188"/>
      <c r="B310" s="180" t="s">
        <v>221</v>
      </c>
      <c r="C310" s="181"/>
      <c r="D310" s="212"/>
      <c r="E310" s="212"/>
      <c r="F310" s="212"/>
      <c r="G310" s="212"/>
      <c r="H310" s="212"/>
      <c r="I310" s="212"/>
      <c r="J310" s="212"/>
      <c r="K310" s="212"/>
      <c r="L310" s="212"/>
      <c r="M310" s="212"/>
      <c r="N310" s="212"/>
      <c r="O310" s="212"/>
      <c r="P310" s="212"/>
      <c r="Q310" s="212"/>
      <c r="R310" s="212"/>
      <c r="S310" s="212"/>
      <c r="T310" s="212"/>
    </row>
    <row r="311" spans="1:22" ht="27" customHeight="1">
      <c r="A311" s="138"/>
      <c r="B311" s="179"/>
      <c r="C311" s="147"/>
      <c r="D311" s="239"/>
      <c r="E311" s="239"/>
      <c r="F311" s="239"/>
      <c r="G311" s="239"/>
      <c r="H311" s="239"/>
      <c r="I311" s="239"/>
      <c r="J311" s="239"/>
      <c r="K311" s="239"/>
      <c r="L311" s="239"/>
      <c r="M311" s="239"/>
      <c r="N311" s="239"/>
      <c r="O311" s="239"/>
      <c r="P311" s="239"/>
      <c r="Q311" s="239"/>
      <c r="R311" s="239"/>
      <c r="S311" s="239"/>
      <c r="T311" s="240"/>
    </row>
    <row r="312" spans="1:22" ht="27" customHeight="1">
      <c r="A312" s="138"/>
      <c r="B312" s="182" t="s">
        <v>222</v>
      </c>
      <c r="C312" s="183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</row>
    <row r="313" spans="1:22" ht="27" customHeight="1">
      <c r="A313" s="138"/>
      <c r="B313" s="179"/>
      <c r="C313" s="147"/>
      <c r="D313" s="239"/>
      <c r="E313" s="239"/>
      <c r="F313" s="239"/>
      <c r="G313" s="239"/>
      <c r="H313" s="239"/>
      <c r="I313" s="239"/>
      <c r="J313" s="239"/>
      <c r="K313" s="239"/>
      <c r="L313" s="239"/>
      <c r="M313" s="239"/>
      <c r="N313" s="239"/>
      <c r="O313" s="239"/>
      <c r="P313" s="239"/>
      <c r="Q313" s="239"/>
      <c r="R313" s="239"/>
      <c r="S313" s="239"/>
      <c r="T313" s="240"/>
    </row>
    <row r="314" spans="1:22" ht="27" customHeight="1">
      <c r="A314" s="138"/>
      <c r="B314" s="448" t="s">
        <v>223</v>
      </c>
      <c r="C314" s="448"/>
      <c r="D314" s="242" t="s">
        <v>336</v>
      </c>
      <c r="E314" s="242" t="s">
        <v>337</v>
      </c>
      <c r="F314" s="242" t="s">
        <v>338</v>
      </c>
      <c r="G314" s="242" t="s">
        <v>339</v>
      </c>
      <c r="H314" s="242" t="s">
        <v>340</v>
      </c>
      <c r="I314" s="242" t="s">
        <v>341</v>
      </c>
      <c r="J314" s="242" t="s">
        <v>342</v>
      </c>
      <c r="K314" s="242" t="s">
        <v>343</v>
      </c>
      <c r="L314" s="242" t="s">
        <v>344</v>
      </c>
      <c r="M314" s="242" t="s">
        <v>345</v>
      </c>
      <c r="N314" s="242" t="s">
        <v>346</v>
      </c>
      <c r="O314" s="242" t="s">
        <v>347</v>
      </c>
      <c r="P314" s="242"/>
      <c r="Q314" s="242"/>
      <c r="R314" s="242"/>
      <c r="S314" s="242"/>
      <c r="T314" s="242" t="s">
        <v>352</v>
      </c>
    </row>
    <row r="315" spans="1:22" ht="27" customHeight="1">
      <c r="A315" s="138"/>
      <c r="B315" s="449" t="s">
        <v>225</v>
      </c>
      <c r="C315" s="449"/>
      <c r="D315" s="243">
        <f>'Receitas Gerais Previstas'!C33+'Receitas Gerais Previstas'!C36</f>
        <v>16956726.949000001</v>
      </c>
      <c r="E315" s="243">
        <f>'Receitas Gerais Previstas'!D33+'Receitas Gerais Previstas'!D36</f>
        <v>17572362.147999998</v>
      </c>
      <c r="F315" s="243">
        <f>'Receitas Gerais Previstas'!E33+'Receitas Gerais Previstas'!E36</f>
        <v>17814320.890000001</v>
      </c>
      <c r="G315" s="243">
        <f>'Receitas Gerais Previstas'!F33+'Receitas Gerais Previstas'!F36</f>
        <v>17814320.890000001</v>
      </c>
      <c r="H315" s="243">
        <f>'Receitas Gerais Previstas'!G33+'Receitas Gerais Previstas'!G36</f>
        <v>17814320.890000001</v>
      </c>
      <c r="I315" s="243">
        <f>'Receitas Gerais Previstas'!H33+'Receitas Gerais Previstas'!H36</f>
        <v>17805334.354000002</v>
      </c>
      <c r="J315" s="243">
        <f>'Receitas Gerais Previstas'!I33+'Receitas Gerais Previstas'!I36</f>
        <v>17805334.354000002</v>
      </c>
      <c r="K315" s="243">
        <f>'Receitas Gerais Previstas'!J33+'Receitas Gerais Previstas'!J36</f>
        <v>17805334.354000002</v>
      </c>
      <c r="L315" s="243">
        <f>'Receitas Gerais Previstas'!K33+'Receitas Gerais Previstas'!K36</f>
        <v>17805334.354000002</v>
      </c>
      <c r="M315" s="243">
        <f>'Receitas Gerais Previstas'!L33+'Receitas Gerais Previstas'!L36</f>
        <v>17805334.354000002</v>
      </c>
      <c r="N315" s="243">
        <f>'Receitas Gerais Previstas'!M33+'Receitas Gerais Previstas'!M36</f>
        <v>17805334.354000002</v>
      </c>
      <c r="O315" s="243">
        <f>'Receitas Gerais Previstas'!N33+'Receitas Gerais Previstas'!N36</f>
        <v>17805334.354000002</v>
      </c>
      <c r="P315" s="243"/>
      <c r="Q315" s="243"/>
      <c r="R315" s="243"/>
      <c r="S315" s="243"/>
      <c r="T315" s="243">
        <f>'Receitas Gerais Previstas'!O33+'Receitas Gerais Previstas'!O36</f>
        <v>212609392.245</v>
      </c>
    </row>
    <row r="316" spans="1:22" ht="27" customHeight="1">
      <c r="A316" s="138"/>
      <c r="B316" s="449" t="s">
        <v>226</v>
      </c>
      <c r="C316" s="449"/>
      <c r="D316" s="243">
        <f>'Receitas Gerais Previstas'!C34+'Receitas Gerais Previstas'!C37</f>
        <v>1980000</v>
      </c>
      <c r="E316" s="243">
        <f>'Receitas Gerais Previstas'!D34+'Receitas Gerais Previstas'!D37</f>
        <v>1980000</v>
      </c>
      <c r="F316" s="243">
        <f>'Receitas Gerais Previstas'!E34+'Receitas Gerais Previstas'!E37</f>
        <v>1980000</v>
      </c>
      <c r="G316" s="243">
        <f>'Receitas Gerais Previstas'!F34+'Receitas Gerais Previstas'!F37</f>
        <v>1980000</v>
      </c>
      <c r="H316" s="243">
        <f>'Receitas Gerais Previstas'!G34+'Receitas Gerais Previstas'!G37</f>
        <v>1980000</v>
      </c>
      <c r="I316" s="243">
        <f>'Receitas Gerais Previstas'!H34+'Receitas Gerais Previstas'!H37</f>
        <v>1980000</v>
      </c>
      <c r="J316" s="243">
        <f>'Receitas Gerais Previstas'!I34+'Receitas Gerais Previstas'!I37</f>
        <v>1980000</v>
      </c>
      <c r="K316" s="243">
        <f>'Receitas Gerais Previstas'!J34+'Receitas Gerais Previstas'!J37</f>
        <v>1980000</v>
      </c>
      <c r="L316" s="243">
        <f>'Receitas Gerais Previstas'!K34+'Receitas Gerais Previstas'!K37</f>
        <v>1980000</v>
      </c>
      <c r="M316" s="243">
        <f>'Receitas Gerais Previstas'!L34+'Receitas Gerais Previstas'!L37</f>
        <v>1980000</v>
      </c>
      <c r="N316" s="243">
        <f>'Receitas Gerais Previstas'!M34+'Receitas Gerais Previstas'!M37</f>
        <v>1980000</v>
      </c>
      <c r="O316" s="243">
        <f>'Receitas Gerais Previstas'!N34+'Receitas Gerais Previstas'!N37</f>
        <v>1980000</v>
      </c>
      <c r="P316" s="243"/>
      <c r="Q316" s="243"/>
      <c r="R316" s="243"/>
      <c r="S316" s="243"/>
      <c r="T316" s="243">
        <f>'Receitas Gerais Previstas'!O34+'Receitas Gerais Previstas'!O37</f>
        <v>23760000</v>
      </c>
    </row>
    <row r="317" spans="1:22" ht="27" customHeight="1">
      <c r="A317" s="138"/>
      <c r="B317" s="449" t="s">
        <v>913</v>
      </c>
      <c r="C317" s="449"/>
      <c r="D317" s="425"/>
      <c r="E317" s="425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>
        <f>SUM(D317:O317)</f>
        <v>0</v>
      </c>
    </row>
    <row r="318" spans="1:22" ht="27" customHeight="1">
      <c r="A318" s="138"/>
      <c r="B318" s="449" t="s">
        <v>914</v>
      </c>
      <c r="C318" s="449"/>
      <c r="D318" s="243">
        <f>'Receitas Gerais Previstas'!C42</f>
        <v>0</v>
      </c>
      <c r="E318" s="243">
        <f>'Receitas Gerais Previstas'!D42</f>
        <v>0</v>
      </c>
      <c r="F318" s="243">
        <f>'Receitas Gerais Previstas'!E42</f>
        <v>0</v>
      </c>
      <c r="G318" s="243">
        <f>'Receitas Gerais Previstas'!F42</f>
        <v>0</v>
      </c>
      <c r="H318" s="243">
        <f>'Receitas Gerais Previstas'!G42</f>
        <v>0</v>
      </c>
      <c r="I318" s="243">
        <f>'Receitas Gerais Previstas'!H42</f>
        <v>0</v>
      </c>
      <c r="J318" s="243">
        <f>'Receitas Gerais Previstas'!I42</f>
        <v>0</v>
      </c>
      <c r="K318" s="243">
        <f>'Receitas Gerais Previstas'!J42</f>
        <v>0</v>
      </c>
      <c r="L318" s="243">
        <f>'Receitas Gerais Previstas'!K42</f>
        <v>0</v>
      </c>
      <c r="M318" s="243">
        <f>'Receitas Gerais Previstas'!L42</f>
        <v>0</v>
      </c>
      <c r="N318" s="243">
        <f>'Receitas Gerais Previstas'!M42</f>
        <v>0</v>
      </c>
      <c r="O318" s="243">
        <f>'Receitas Gerais Previstas'!N42</f>
        <v>0</v>
      </c>
      <c r="P318" s="243"/>
      <c r="Q318" s="243"/>
      <c r="R318" s="243"/>
      <c r="S318" s="243"/>
      <c r="T318" s="243">
        <f>SUM(D318:O318)</f>
        <v>0</v>
      </c>
    </row>
    <row r="319" spans="1:22" ht="27" customHeight="1">
      <c r="A319" s="138"/>
      <c r="B319" s="449" t="s">
        <v>915</v>
      </c>
      <c r="C319" s="449"/>
      <c r="D319" s="243">
        <f>'Receitas Gerais Previstas'!C35</f>
        <v>0</v>
      </c>
      <c r="E319" s="243">
        <f>'Receitas Gerais Previstas'!D35</f>
        <v>0</v>
      </c>
      <c r="F319" s="243">
        <f>'Receitas Gerais Previstas'!E35</f>
        <v>2000000</v>
      </c>
      <c r="G319" s="243">
        <f>'Receitas Gerais Previstas'!F35</f>
        <v>2000000</v>
      </c>
      <c r="H319" s="243">
        <f>'Receitas Gerais Previstas'!G35</f>
        <v>2000000</v>
      </c>
      <c r="I319" s="243">
        <f>'Receitas Gerais Previstas'!H35</f>
        <v>2000000</v>
      </c>
      <c r="J319" s="243">
        <f>'Receitas Gerais Previstas'!I35</f>
        <v>2000000</v>
      </c>
      <c r="K319" s="243">
        <f>'Receitas Gerais Previstas'!J35</f>
        <v>2000000</v>
      </c>
      <c r="L319" s="243">
        <f>'Receitas Gerais Previstas'!K35</f>
        <v>2000000</v>
      </c>
      <c r="M319" s="243">
        <f>'Receitas Gerais Previstas'!L35</f>
        <v>2000000</v>
      </c>
      <c r="N319" s="243">
        <f>'Receitas Gerais Previstas'!M35</f>
        <v>2000000</v>
      </c>
      <c r="O319" s="243">
        <f>'Receitas Gerais Previstas'!N35</f>
        <v>2000000</v>
      </c>
      <c r="P319" s="243"/>
      <c r="Q319" s="243"/>
      <c r="R319" s="243"/>
      <c r="S319" s="243"/>
      <c r="T319" s="243">
        <f>SUM(D319:O319)</f>
        <v>20000000</v>
      </c>
    </row>
    <row r="320" spans="1:22" ht="27" customHeight="1">
      <c r="A320" s="138"/>
      <c r="B320" s="448" t="s">
        <v>916</v>
      </c>
      <c r="C320" s="448"/>
      <c r="D320" s="244">
        <f>SUM(D315:D319)</f>
        <v>18936726.949000001</v>
      </c>
      <c r="E320" s="244">
        <f t="shared" ref="E320:O320" si="133">SUM(E315:E319)</f>
        <v>19552362.147999998</v>
      </c>
      <c r="F320" s="244">
        <f t="shared" si="133"/>
        <v>21794320.890000001</v>
      </c>
      <c r="G320" s="244">
        <f t="shared" si="133"/>
        <v>21794320.890000001</v>
      </c>
      <c r="H320" s="244">
        <f t="shared" si="133"/>
        <v>21794320.890000001</v>
      </c>
      <c r="I320" s="244">
        <f t="shared" si="133"/>
        <v>21785334.354000002</v>
      </c>
      <c r="J320" s="244">
        <f t="shared" si="133"/>
        <v>21785334.354000002</v>
      </c>
      <c r="K320" s="244">
        <f t="shared" si="133"/>
        <v>21785334.354000002</v>
      </c>
      <c r="L320" s="244">
        <f t="shared" si="133"/>
        <v>21785334.354000002</v>
      </c>
      <c r="M320" s="244">
        <f t="shared" si="133"/>
        <v>21785334.354000002</v>
      </c>
      <c r="N320" s="244">
        <f t="shared" si="133"/>
        <v>21785334.354000002</v>
      </c>
      <c r="O320" s="244">
        <f t="shared" si="133"/>
        <v>21785334.354000002</v>
      </c>
      <c r="P320" s="244"/>
      <c r="Q320" s="244"/>
      <c r="R320" s="244"/>
      <c r="S320" s="244"/>
      <c r="T320" s="244">
        <f>SUM(T315:T319)</f>
        <v>256369392.245</v>
      </c>
    </row>
    <row r="321" spans="2:10" ht="27" customHeight="1">
      <c r="B321" s="176"/>
      <c r="C321" s="166"/>
      <c r="D321" s="245"/>
    </row>
    <row r="322" spans="2:10" ht="27" customHeight="1">
      <c r="B322" s="176"/>
      <c r="C322" s="166"/>
    </row>
    <row r="323" spans="2:10" ht="27" customHeight="1">
      <c r="B323" s="446" t="s">
        <v>917</v>
      </c>
      <c r="C323" s="446"/>
      <c r="D323" s="446"/>
      <c r="F323" s="440" t="s">
        <v>918</v>
      </c>
      <c r="G323" s="441"/>
      <c r="H323" s="441"/>
      <c r="I323" s="441"/>
      <c r="J323" s="442"/>
    </row>
    <row r="324" spans="2:10" ht="27" customHeight="1">
      <c r="B324" s="447" t="s">
        <v>919</v>
      </c>
      <c r="C324" s="447"/>
      <c r="D324" s="247">
        <f>'Receitas Gerais Previstas'!O31</f>
        <v>269869634.71666664</v>
      </c>
      <c r="F324" s="443" t="s">
        <v>920</v>
      </c>
      <c r="G324" s="444"/>
      <c r="H324" s="444"/>
      <c r="I324" s="445"/>
      <c r="J324" s="320">
        <f>T320</f>
        <v>256369392.245</v>
      </c>
    </row>
    <row r="325" spans="2:10" ht="27" customHeight="1">
      <c r="B325" s="447" t="s">
        <v>921</v>
      </c>
      <c r="C325" s="447"/>
      <c r="D325" s="247">
        <f>T306</f>
        <v>252225309.84044999</v>
      </c>
      <c r="F325" s="443" t="s">
        <v>921</v>
      </c>
      <c r="G325" s="444"/>
      <c r="H325" s="444"/>
      <c r="I325" s="445"/>
      <c r="J325" s="248">
        <f>T306</f>
        <v>252225309.84044999</v>
      </c>
    </row>
    <row r="326" spans="2:10" ht="27" customHeight="1">
      <c r="B326" s="447" t="s">
        <v>922</v>
      </c>
      <c r="C326" s="447"/>
      <c r="D326" s="249">
        <f>D324-D325</f>
        <v>17644324.87621665</v>
      </c>
      <c r="F326" s="443" t="s">
        <v>923</v>
      </c>
      <c r="G326" s="444"/>
      <c r="H326" s="444"/>
      <c r="I326" s="445"/>
      <c r="J326" s="248">
        <f>J324-J325</f>
        <v>4144082.4045500159</v>
      </c>
    </row>
    <row r="327" spans="2:10" ht="27" customHeight="1">
      <c r="B327" s="447" t="s">
        <v>924</v>
      </c>
      <c r="C327" s="447"/>
      <c r="D327" s="247">
        <f>T302</f>
        <v>14850390.100000001</v>
      </c>
      <c r="F327" s="453" t="s">
        <v>925</v>
      </c>
      <c r="G327" s="454"/>
      <c r="H327" s="454"/>
      <c r="I327" s="455"/>
      <c r="J327" s="248">
        <f>T229</f>
        <v>24228000</v>
      </c>
    </row>
    <row r="328" spans="2:10" ht="27" customHeight="1">
      <c r="B328" s="447" t="s">
        <v>926</v>
      </c>
      <c r="C328" s="447"/>
      <c r="D328" s="247">
        <f>T191</f>
        <v>0</v>
      </c>
      <c r="F328" s="453" t="s">
        <v>927</v>
      </c>
      <c r="G328" s="454"/>
      <c r="H328" s="454"/>
      <c r="I328" s="455"/>
      <c r="J328" s="248">
        <f>T208</f>
        <v>480000</v>
      </c>
    </row>
    <row r="329" spans="2:10" ht="27" customHeight="1">
      <c r="B329" s="447" t="s">
        <v>928</v>
      </c>
      <c r="C329" s="447"/>
      <c r="D329" s="247">
        <f>T12</f>
        <v>5827436.5199999996</v>
      </c>
      <c r="F329" s="453" t="s">
        <v>929</v>
      </c>
      <c r="G329" s="454"/>
      <c r="H329" s="454"/>
      <c r="I329" s="455"/>
      <c r="J329" s="248">
        <f>T220</f>
        <v>6600000</v>
      </c>
    </row>
    <row r="330" spans="2:10" ht="27" customHeight="1">
      <c r="B330" s="457" t="s">
        <v>930</v>
      </c>
      <c r="C330" s="457"/>
      <c r="D330" s="250">
        <f>T13</f>
        <v>1758455.53</v>
      </c>
      <c r="F330" s="453" t="s">
        <v>931</v>
      </c>
      <c r="G330" s="454"/>
      <c r="H330" s="454"/>
      <c r="I330" s="455"/>
      <c r="J330" s="248">
        <f>T222</f>
        <v>8400000</v>
      </c>
    </row>
    <row r="331" spans="2:10" ht="27" customHeight="1">
      <c r="B331" s="457" t="s">
        <v>932</v>
      </c>
      <c r="C331" s="457"/>
      <c r="D331" s="250">
        <f>T32</f>
        <v>360000</v>
      </c>
      <c r="F331" s="453" t="s">
        <v>933</v>
      </c>
      <c r="G331" s="454"/>
      <c r="H331" s="454"/>
      <c r="I331" s="455"/>
      <c r="J331" s="248">
        <v>0</v>
      </c>
    </row>
    <row r="332" spans="2:10" ht="27" customHeight="1">
      <c r="B332" s="456" t="s">
        <v>220</v>
      </c>
      <c r="C332" s="456"/>
      <c r="D332" s="238">
        <f>D326+D327+D328+D329+D330+D331</f>
        <v>40440607.026216656</v>
      </c>
      <c r="E332" s="251"/>
      <c r="F332" s="453" t="s">
        <v>934</v>
      </c>
      <c r="G332" s="454"/>
      <c r="H332" s="454"/>
      <c r="I332" s="455"/>
      <c r="J332" s="248">
        <v>300000</v>
      </c>
    </row>
    <row r="333" spans="2:10" ht="27" customHeight="1">
      <c r="B333" s="184"/>
      <c r="C333" s="167"/>
      <c r="D333" s="245"/>
      <c r="F333" s="453" t="s">
        <v>935</v>
      </c>
      <c r="G333" s="454"/>
      <c r="H333" s="454"/>
      <c r="I333" s="455"/>
      <c r="J333" s="248">
        <f>T188</f>
        <v>0</v>
      </c>
    </row>
    <row r="334" spans="2:10" ht="27" customHeight="1">
      <c r="B334" s="168"/>
      <c r="C334" s="166"/>
      <c r="D334" s="245"/>
      <c r="F334" s="450" t="s">
        <v>221</v>
      </c>
      <c r="G334" s="451"/>
      <c r="H334" s="451"/>
      <c r="I334" s="452"/>
      <c r="J334" s="252">
        <f>J326+J327+J328-J332</f>
        <v>28552082.404550016</v>
      </c>
    </row>
    <row r="335" spans="2:10" ht="27" customHeight="1">
      <c r="B335" s="169"/>
      <c r="C335" s="166"/>
      <c r="D335" s="253"/>
      <c r="E335" s="254"/>
      <c r="F335" s="254"/>
      <c r="G335" s="254"/>
      <c r="H335" s="254"/>
    </row>
    <row r="336" spans="2:10" ht="27" customHeight="1">
      <c r="B336" s="154"/>
      <c r="C336" s="166"/>
      <c r="D336" s="253"/>
      <c r="E336" s="254"/>
      <c r="F336" s="254"/>
      <c r="G336" s="254"/>
      <c r="H336" s="254"/>
    </row>
    <row r="337" spans="1:20" ht="27" customHeight="1">
      <c r="B337" s="170"/>
      <c r="C337" s="166"/>
      <c r="D337" s="253"/>
      <c r="E337" s="254"/>
      <c r="F337" s="254"/>
      <c r="G337" s="254"/>
      <c r="H337" s="254"/>
    </row>
    <row r="338" spans="1:20" ht="27" customHeight="1">
      <c r="A338" s="220"/>
      <c r="B338" s="177" t="s">
        <v>219</v>
      </c>
      <c r="C338" s="178"/>
      <c r="D338" s="255">
        <f>D306</f>
        <v>18068479.213799998</v>
      </c>
      <c r="E338" s="255">
        <f t="shared" ref="E338:O338" si="134">E306</f>
        <v>19031917.133099996</v>
      </c>
      <c r="F338" s="255">
        <f t="shared" si="134"/>
        <v>20712689.315082498</v>
      </c>
      <c r="G338" s="255">
        <f t="shared" si="134"/>
        <v>20388537.875892498</v>
      </c>
      <c r="H338" s="255">
        <f t="shared" si="134"/>
        <v>22835811.689692497</v>
      </c>
      <c r="I338" s="255">
        <f t="shared" si="134"/>
        <v>20417259.468092501</v>
      </c>
      <c r="J338" s="255">
        <f t="shared" si="134"/>
        <v>20959011.4591925</v>
      </c>
      <c r="K338" s="255">
        <f t="shared" si="134"/>
        <v>21570518.867992498</v>
      </c>
      <c r="L338" s="255">
        <f t="shared" si="134"/>
        <v>21429128.634692498</v>
      </c>
      <c r="M338" s="255">
        <f t="shared" si="134"/>
        <v>21037544.6702375</v>
      </c>
      <c r="N338" s="255">
        <f t="shared" si="134"/>
        <v>21011452.562537502</v>
      </c>
      <c r="O338" s="255">
        <f t="shared" si="134"/>
        <v>24762958.950137503</v>
      </c>
      <c r="P338" s="255"/>
      <c r="Q338" s="255"/>
      <c r="R338" s="255"/>
      <c r="S338" s="255"/>
      <c r="T338" s="255">
        <f>SUM(D338:O338)</f>
        <v>252225309.84044999</v>
      </c>
    </row>
    <row r="339" spans="1:20" ht="27" customHeight="1">
      <c r="A339" s="220"/>
      <c r="B339" s="221" t="s">
        <v>936</v>
      </c>
      <c r="C339" s="222"/>
      <c r="D339" s="256">
        <f>D338-(30%*D338)</f>
        <v>12647935.449659999</v>
      </c>
      <c r="E339" s="256">
        <f t="shared" ref="E339:O339" si="135">E338-(30%*E338)</f>
        <v>13322341.993169997</v>
      </c>
      <c r="F339" s="256">
        <f t="shared" si="135"/>
        <v>14498882.52055775</v>
      </c>
      <c r="G339" s="256">
        <f t="shared" si="135"/>
        <v>14271976.513124749</v>
      </c>
      <c r="H339" s="256">
        <f t="shared" si="135"/>
        <v>15985068.182784747</v>
      </c>
      <c r="I339" s="256">
        <f t="shared" si="135"/>
        <v>14292081.627664752</v>
      </c>
      <c r="J339" s="256">
        <f t="shared" si="135"/>
        <v>14671308.02143475</v>
      </c>
      <c r="K339" s="256">
        <f t="shared" si="135"/>
        <v>15099363.207594749</v>
      </c>
      <c r="L339" s="256">
        <f t="shared" si="135"/>
        <v>15000390.04428475</v>
      </c>
      <c r="M339" s="256">
        <f t="shared" si="135"/>
        <v>14726281.26916625</v>
      </c>
      <c r="N339" s="256">
        <f t="shared" si="135"/>
        <v>14708016.793776251</v>
      </c>
      <c r="O339" s="256">
        <f t="shared" si="135"/>
        <v>17334071.265096255</v>
      </c>
      <c r="P339" s="253"/>
      <c r="Q339" s="253"/>
      <c r="R339" s="253"/>
      <c r="S339" s="253"/>
      <c r="T339" s="255">
        <f>SUM(D339:O339)</f>
        <v>176557716.88831499</v>
      </c>
    </row>
    <row r="340" spans="1:20" ht="27" customHeight="1">
      <c r="A340" s="220"/>
      <c r="B340" s="221" t="s">
        <v>937</v>
      </c>
      <c r="C340" s="222"/>
      <c r="D340" s="256">
        <f>D339</f>
        <v>12647935.449659999</v>
      </c>
      <c r="E340" s="256">
        <f t="shared" ref="E340:K340" si="136">E339</f>
        <v>13322341.993169997</v>
      </c>
      <c r="F340" s="256">
        <f t="shared" si="136"/>
        <v>14498882.52055775</v>
      </c>
      <c r="G340" s="256">
        <f t="shared" si="136"/>
        <v>14271976.513124749</v>
      </c>
      <c r="H340" s="256">
        <f t="shared" si="136"/>
        <v>15985068.182784747</v>
      </c>
      <c r="I340" s="256">
        <f t="shared" si="136"/>
        <v>14292081.627664752</v>
      </c>
      <c r="J340" s="256">
        <f t="shared" si="136"/>
        <v>14671308.02143475</v>
      </c>
      <c r="K340" s="256">
        <f t="shared" si="136"/>
        <v>15099363.207594749</v>
      </c>
      <c r="L340" s="257">
        <f>L339-(25%*L339)</f>
        <v>11250292.533213563</v>
      </c>
      <c r="M340" s="257">
        <f t="shared" ref="M340:O340" si="137">M339-(25%*M339)</f>
        <v>11044710.951874688</v>
      </c>
      <c r="N340" s="257">
        <f t="shared" si="137"/>
        <v>11031012.595332189</v>
      </c>
      <c r="O340" s="257">
        <f t="shared" si="137"/>
        <v>13000553.448822191</v>
      </c>
      <c r="P340" s="245"/>
      <c r="Q340" s="245"/>
      <c r="R340" s="245"/>
      <c r="S340" s="245"/>
      <c r="T340" s="255">
        <f>SUM(D340:O340)</f>
        <v>161115527.04523411</v>
      </c>
    </row>
    <row r="341" spans="1:20" ht="27" customHeight="1">
      <c r="A341" s="220"/>
      <c r="B341" s="221"/>
      <c r="C341" s="222"/>
      <c r="D341" s="256"/>
      <c r="E341" s="256"/>
      <c r="F341" s="256"/>
      <c r="G341" s="256"/>
      <c r="H341" s="256"/>
      <c r="I341" s="257"/>
      <c r="J341" s="257"/>
      <c r="K341" s="257"/>
      <c r="L341" s="257"/>
      <c r="M341" s="257"/>
      <c r="N341" s="257"/>
      <c r="O341" s="257"/>
      <c r="P341" s="257"/>
      <c r="Q341" s="257"/>
      <c r="R341" s="257"/>
      <c r="S341" s="257"/>
      <c r="T341" s="257"/>
    </row>
    <row r="342" spans="1:20" ht="27" customHeight="1">
      <c r="A342" s="220"/>
      <c r="B342" s="221"/>
      <c r="C342" s="222"/>
      <c r="D342" s="256"/>
      <c r="E342" s="256"/>
      <c r="F342" s="256"/>
      <c r="G342" s="256"/>
      <c r="H342" s="256"/>
      <c r="I342" s="257"/>
      <c r="J342" s="257"/>
      <c r="K342" s="257"/>
      <c r="L342" s="257"/>
      <c r="M342" s="257"/>
      <c r="N342" s="257"/>
      <c r="O342" s="257"/>
      <c r="P342" s="257"/>
      <c r="Q342" s="257"/>
      <c r="R342" s="257"/>
      <c r="S342" s="257"/>
      <c r="T342" s="257"/>
    </row>
    <row r="343" spans="1:20" ht="27" customHeight="1">
      <c r="A343" s="220"/>
      <c r="B343" s="221"/>
      <c r="C343" s="222"/>
      <c r="D343" s="256"/>
      <c r="E343" s="256"/>
      <c r="F343" s="256"/>
      <c r="G343" s="256"/>
      <c r="H343" s="256"/>
      <c r="I343" s="257"/>
      <c r="J343" s="257"/>
      <c r="K343" s="257"/>
      <c r="L343" s="257"/>
      <c r="M343" s="257"/>
      <c r="N343" s="257"/>
      <c r="O343" s="257"/>
      <c r="P343" s="257"/>
      <c r="Q343" s="257"/>
      <c r="R343" s="257"/>
      <c r="S343" s="257"/>
      <c r="T343" s="257"/>
    </row>
    <row r="344" spans="1:20" ht="27" customHeight="1">
      <c r="A344" s="220"/>
      <c r="B344" s="223"/>
      <c r="C344" s="222"/>
      <c r="D344" s="256"/>
      <c r="E344" s="256"/>
      <c r="F344" s="256"/>
      <c r="G344" s="256"/>
      <c r="H344" s="256"/>
      <c r="I344" s="257"/>
      <c r="J344" s="257"/>
      <c r="K344" s="257"/>
      <c r="L344" s="257"/>
      <c r="M344" s="257"/>
      <c r="N344" s="257"/>
      <c r="O344" s="257"/>
      <c r="P344" s="257"/>
      <c r="Q344" s="257"/>
      <c r="R344" s="257"/>
      <c r="S344" s="257"/>
      <c r="T344" s="257"/>
    </row>
    <row r="345" spans="1:20" ht="27" customHeight="1">
      <c r="A345" s="220"/>
      <c r="B345" s="223"/>
      <c r="C345" s="222"/>
      <c r="D345" s="256"/>
      <c r="E345" s="256"/>
      <c r="F345" s="256"/>
      <c r="G345" s="256"/>
      <c r="H345" s="256"/>
      <c r="I345" s="257"/>
      <c r="J345" s="257"/>
      <c r="K345" s="257"/>
      <c r="L345" s="257"/>
      <c r="M345" s="257"/>
      <c r="N345" s="257"/>
      <c r="O345" s="257"/>
      <c r="P345" s="257"/>
      <c r="Q345" s="257"/>
      <c r="R345" s="257"/>
      <c r="S345" s="257"/>
      <c r="T345" s="257"/>
    </row>
    <row r="346" spans="1:20" ht="27" customHeight="1">
      <c r="A346" s="220"/>
      <c r="B346" s="224"/>
      <c r="C346" s="225"/>
      <c r="D346" s="256"/>
      <c r="E346" s="256"/>
      <c r="F346" s="256"/>
      <c r="G346" s="256"/>
      <c r="H346" s="256"/>
      <c r="I346" s="257"/>
      <c r="J346" s="257"/>
      <c r="K346" s="257"/>
      <c r="L346" s="257"/>
      <c r="M346" s="257"/>
      <c r="N346" s="257"/>
      <c r="O346" s="257"/>
      <c r="P346" s="257"/>
      <c r="Q346" s="257"/>
      <c r="R346" s="257"/>
      <c r="S346" s="257"/>
      <c r="T346" s="257"/>
    </row>
    <row r="347" spans="1:20" ht="27" customHeight="1">
      <c r="B347" s="154"/>
      <c r="C347" s="167"/>
      <c r="D347" s="253"/>
      <c r="E347" s="254"/>
      <c r="F347" s="254"/>
      <c r="G347" s="254"/>
      <c r="H347" s="254"/>
    </row>
    <row r="348" spans="1:20" ht="27" customHeight="1">
      <c r="B348" s="168"/>
      <c r="C348" s="167"/>
      <c r="D348" s="253"/>
      <c r="E348" s="254"/>
      <c r="F348" s="254"/>
      <c r="G348" s="254"/>
      <c r="H348" s="254"/>
    </row>
    <row r="349" spans="1:20" ht="27" customHeight="1">
      <c r="B349" s="154"/>
      <c r="C349" s="167"/>
      <c r="D349" s="253"/>
      <c r="E349" s="254"/>
      <c r="F349" s="254"/>
      <c r="G349" s="254"/>
      <c r="H349" s="254"/>
    </row>
    <row r="350" spans="1:20" ht="27" customHeight="1">
      <c r="B350" s="154"/>
      <c r="C350" s="167"/>
      <c r="D350" s="253"/>
      <c r="E350" s="254"/>
      <c r="F350" s="254"/>
      <c r="G350" s="254"/>
      <c r="H350" s="254"/>
    </row>
    <row r="351" spans="1:20" ht="27" customHeight="1">
      <c r="B351" s="171"/>
      <c r="C351" s="167"/>
      <c r="D351" s="253"/>
      <c r="E351" s="254"/>
      <c r="F351" s="254"/>
      <c r="G351" s="254"/>
      <c r="H351" s="254"/>
    </row>
    <row r="352" spans="1:20" ht="27" customHeight="1">
      <c r="B352" s="154"/>
      <c r="C352" s="166"/>
      <c r="D352" s="253"/>
      <c r="E352" s="254"/>
      <c r="F352" s="254"/>
      <c r="G352" s="254"/>
      <c r="H352" s="254"/>
    </row>
    <row r="353" spans="2:8" ht="27" customHeight="1">
      <c r="B353" s="139"/>
      <c r="C353" s="172"/>
      <c r="D353" s="253"/>
      <c r="E353" s="254"/>
      <c r="F353" s="254"/>
      <c r="G353" s="254"/>
      <c r="H353" s="254"/>
    </row>
    <row r="354" spans="2:8" ht="27" customHeight="1">
      <c r="B354" s="154"/>
      <c r="C354" s="172"/>
      <c r="D354" s="253"/>
      <c r="E354" s="254"/>
      <c r="F354" s="254"/>
      <c r="G354" s="254"/>
      <c r="H354" s="254"/>
    </row>
    <row r="355" spans="2:8" ht="27" customHeight="1">
      <c r="B355" s="171"/>
      <c r="C355" s="167"/>
      <c r="D355" s="253"/>
      <c r="E355" s="254"/>
      <c r="F355" s="254"/>
      <c r="G355" s="254"/>
      <c r="H355" s="254"/>
    </row>
    <row r="356" spans="2:8" ht="27" customHeight="1">
      <c r="B356" s="171"/>
      <c r="C356" s="167"/>
      <c r="D356" s="253"/>
      <c r="E356" s="254"/>
      <c r="F356" s="254"/>
      <c r="G356" s="254"/>
      <c r="H356" s="254"/>
    </row>
    <row r="357" spans="2:8" ht="27" customHeight="1">
      <c r="B357" s="171"/>
      <c r="C357" s="167"/>
      <c r="D357" s="253"/>
      <c r="E357" s="254"/>
      <c r="F357" s="254"/>
      <c r="G357" s="254"/>
      <c r="H357" s="254"/>
    </row>
    <row r="358" spans="2:8" ht="27" customHeight="1">
      <c r="B358" s="137"/>
      <c r="C358" s="167"/>
      <c r="D358" s="253"/>
      <c r="E358" s="254"/>
      <c r="F358" s="254"/>
      <c r="G358" s="254"/>
      <c r="H358" s="254"/>
    </row>
    <row r="359" spans="2:8" ht="27" customHeight="1">
      <c r="B359" s="137"/>
      <c r="C359" s="167"/>
      <c r="D359" s="253"/>
      <c r="E359" s="254"/>
      <c r="F359" s="254"/>
      <c r="G359" s="254"/>
      <c r="H359" s="254"/>
    </row>
    <row r="360" spans="2:8" ht="27" customHeight="1">
      <c r="B360" s="137"/>
      <c r="C360" s="167"/>
      <c r="D360" s="253"/>
      <c r="E360" s="254"/>
      <c r="F360" s="254"/>
      <c r="G360" s="254"/>
      <c r="H360" s="254"/>
    </row>
    <row r="361" spans="2:8" ht="27" customHeight="1">
      <c r="B361" s="137"/>
      <c r="C361" s="167"/>
      <c r="D361" s="253"/>
      <c r="E361" s="254"/>
      <c r="F361" s="254"/>
      <c r="G361" s="254"/>
      <c r="H361" s="254"/>
    </row>
    <row r="362" spans="2:8" ht="27" customHeight="1">
      <c r="B362" s="137"/>
      <c r="C362" s="167"/>
      <c r="D362" s="253"/>
      <c r="E362" s="254"/>
      <c r="F362" s="254"/>
      <c r="G362" s="254"/>
      <c r="H362" s="254"/>
    </row>
    <row r="363" spans="2:8" ht="27" customHeight="1">
      <c r="B363" s="137"/>
      <c r="C363" s="167"/>
      <c r="D363" s="253"/>
      <c r="E363" s="254"/>
      <c r="F363" s="254"/>
      <c r="G363" s="254"/>
      <c r="H363" s="254"/>
    </row>
    <row r="364" spans="2:8" ht="27" customHeight="1">
      <c r="B364" s="137"/>
      <c r="C364" s="167"/>
      <c r="D364" s="253"/>
      <c r="E364" s="254"/>
      <c r="F364" s="254"/>
      <c r="G364" s="254"/>
      <c r="H364" s="254"/>
    </row>
    <row r="365" spans="2:8" ht="27" customHeight="1">
      <c r="B365" s="137"/>
      <c r="C365" s="167"/>
      <c r="D365" s="253"/>
      <c r="E365" s="254"/>
      <c r="F365" s="254"/>
      <c r="G365" s="254"/>
      <c r="H365" s="254"/>
    </row>
    <row r="366" spans="2:8" ht="27" customHeight="1">
      <c r="B366" s="137"/>
      <c r="C366" s="167"/>
      <c r="D366" s="253"/>
      <c r="E366" s="254"/>
      <c r="F366" s="254"/>
      <c r="G366" s="254"/>
      <c r="H366" s="254"/>
    </row>
    <row r="367" spans="2:8" ht="27" customHeight="1">
      <c r="B367" s="137"/>
      <c r="C367" s="167"/>
      <c r="D367" s="253"/>
      <c r="E367" s="254"/>
      <c r="F367" s="254"/>
      <c r="G367" s="254"/>
      <c r="H367" s="254"/>
    </row>
    <row r="368" spans="2:8" ht="30" customHeight="1">
      <c r="B368" s="137"/>
      <c r="C368" s="167"/>
      <c r="D368" s="253"/>
      <c r="E368" s="254"/>
      <c r="F368" s="254"/>
      <c r="G368" s="254"/>
      <c r="H368" s="254"/>
    </row>
    <row r="369" spans="2:8" ht="30" customHeight="1">
      <c r="B369" s="137"/>
      <c r="C369" s="167"/>
      <c r="D369" s="253"/>
      <c r="E369" s="254"/>
      <c r="F369" s="254"/>
      <c r="G369" s="254"/>
      <c r="H369" s="254"/>
    </row>
    <row r="370" spans="2:8" ht="30" customHeight="1">
      <c r="B370" s="137"/>
      <c r="C370" s="167"/>
      <c r="D370" s="253"/>
      <c r="E370" s="254"/>
      <c r="F370" s="254"/>
      <c r="G370" s="254"/>
      <c r="H370" s="254"/>
    </row>
    <row r="371" spans="2:8" ht="30" customHeight="1">
      <c r="B371" s="137"/>
      <c r="C371" s="167"/>
      <c r="D371" s="253"/>
      <c r="E371" s="253"/>
      <c r="F371" s="253"/>
      <c r="G371" s="254"/>
      <c r="H371" s="254"/>
    </row>
    <row r="372" spans="2:8" ht="30" customHeight="1">
      <c r="B372" s="137"/>
      <c r="C372" s="167"/>
      <c r="D372" s="253"/>
      <c r="E372" s="253"/>
      <c r="F372" s="253"/>
      <c r="G372" s="254"/>
      <c r="H372" s="254"/>
    </row>
    <row r="373" spans="2:8" ht="30" customHeight="1">
      <c r="B373" s="137"/>
      <c r="C373" s="167"/>
      <c r="D373" s="253"/>
      <c r="E373" s="253"/>
      <c r="F373" s="253"/>
      <c r="G373" s="254"/>
      <c r="H373" s="254"/>
    </row>
    <row r="374" spans="2:8" ht="30" customHeight="1">
      <c r="B374" s="137"/>
      <c r="C374" s="167"/>
      <c r="D374" s="253"/>
      <c r="E374" s="253"/>
      <c r="F374" s="253"/>
      <c r="G374" s="254"/>
      <c r="H374" s="254"/>
    </row>
    <row r="375" spans="2:8" ht="30" customHeight="1">
      <c r="B375" s="137"/>
      <c r="C375" s="167"/>
      <c r="D375" s="253"/>
      <c r="E375" s="253"/>
      <c r="F375" s="253"/>
      <c r="G375" s="254"/>
      <c r="H375" s="254"/>
    </row>
    <row r="376" spans="2:8" ht="30" customHeight="1">
      <c r="B376" s="137"/>
      <c r="C376" s="167"/>
      <c r="D376" s="253"/>
      <c r="E376" s="253"/>
      <c r="F376" s="253"/>
      <c r="G376" s="254"/>
      <c r="H376" s="254"/>
    </row>
    <row r="377" spans="2:8" ht="30" customHeight="1">
      <c r="B377" s="137"/>
      <c r="C377" s="167"/>
      <c r="D377" s="253"/>
      <c r="E377" s="253"/>
      <c r="F377" s="253"/>
      <c r="G377" s="254"/>
      <c r="H377" s="254"/>
    </row>
    <row r="378" spans="2:8" ht="30" customHeight="1">
      <c r="B378" s="137"/>
      <c r="C378" s="167"/>
      <c r="D378" s="253"/>
      <c r="E378" s="253"/>
      <c r="F378" s="253"/>
      <c r="G378" s="254"/>
      <c r="H378" s="254"/>
    </row>
    <row r="379" spans="2:8" ht="30" customHeight="1">
      <c r="B379" s="137"/>
      <c r="C379" s="167"/>
      <c r="D379" s="253"/>
      <c r="E379" s="253"/>
      <c r="F379" s="253"/>
      <c r="G379" s="254"/>
      <c r="H379" s="254"/>
    </row>
    <row r="380" spans="2:8" ht="30" customHeight="1">
      <c r="B380" s="137"/>
      <c r="C380" s="167"/>
      <c r="D380" s="253"/>
      <c r="E380" s="253"/>
      <c r="F380" s="253"/>
      <c r="G380" s="254"/>
      <c r="H380" s="254"/>
    </row>
    <row r="381" spans="2:8" ht="30" customHeight="1">
      <c r="B381" s="137"/>
      <c r="C381" s="167"/>
      <c r="D381" s="253"/>
      <c r="E381" s="253"/>
      <c r="F381" s="253"/>
      <c r="G381" s="254"/>
      <c r="H381" s="254"/>
    </row>
    <row r="382" spans="2:8" ht="30" customHeight="1">
      <c r="B382" s="137"/>
      <c r="C382" s="167"/>
      <c r="D382" s="253"/>
      <c r="E382" s="253"/>
      <c r="F382" s="253"/>
      <c r="G382" s="254"/>
      <c r="H382" s="254"/>
    </row>
    <row r="383" spans="2:8" ht="30" customHeight="1">
      <c r="B383" s="137"/>
      <c r="C383" s="167"/>
      <c r="D383" s="253"/>
      <c r="E383" s="253"/>
      <c r="F383" s="253"/>
      <c r="G383" s="254"/>
      <c r="H383" s="254"/>
    </row>
    <row r="384" spans="2:8" ht="30" customHeight="1">
      <c r="B384" s="137"/>
      <c r="C384" s="167"/>
      <c r="D384" s="253"/>
      <c r="E384" s="253"/>
      <c r="F384" s="253"/>
      <c r="G384" s="254"/>
      <c r="H384" s="254"/>
    </row>
    <row r="385" spans="2:8" ht="30" customHeight="1">
      <c r="B385" s="137"/>
      <c r="C385" s="167"/>
      <c r="D385" s="253"/>
      <c r="E385" s="253"/>
      <c r="F385" s="253"/>
      <c r="G385" s="254"/>
      <c r="H385" s="254"/>
    </row>
    <row r="386" spans="2:8" ht="30" customHeight="1">
      <c r="B386" s="137"/>
      <c r="C386" s="167"/>
      <c r="D386" s="253"/>
      <c r="E386" s="253"/>
      <c r="F386" s="253"/>
      <c r="G386" s="254"/>
      <c r="H386" s="254"/>
    </row>
    <row r="387" spans="2:8" ht="30" customHeight="1">
      <c r="B387" s="137"/>
      <c r="C387" s="167"/>
      <c r="D387" s="253"/>
      <c r="E387" s="253"/>
      <c r="F387" s="253"/>
      <c r="G387" s="254"/>
      <c r="H387" s="254"/>
    </row>
    <row r="388" spans="2:8" ht="30" customHeight="1">
      <c r="B388" s="137"/>
      <c r="C388" s="167"/>
      <c r="D388" s="253"/>
      <c r="E388" s="253"/>
      <c r="F388" s="253"/>
      <c r="G388" s="254"/>
      <c r="H388" s="254"/>
    </row>
    <row r="389" spans="2:8" ht="30" customHeight="1">
      <c r="B389" s="137"/>
      <c r="C389" s="167"/>
      <c r="D389" s="253"/>
      <c r="E389" s="253"/>
      <c r="F389" s="253"/>
      <c r="G389" s="254"/>
      <c r="H389" s="254"/>
    </row>
    <row r="390" spans="2:8" ht="30" customHeight="1">
      <c r="B390" s="137"/>
      <c r="C390" s="167"/>
      <c r="D390" s="253"/>
      <c r="E390" s="253"/>
      <c r="F390" s="253"/>
      <c r="G390" s="254"/>
      <c r="H390" s="254"/>
    </row>
    <row r="391" spans="2:8" ht="30" customHeight="1">
      <c r="B391" s="137"/>
      <c r="C391" s="167"/>
      <c r="D391" s="253"/>
      <c r="E391" s="253"/>
      <c r="F391" s="253"/>
      <c r="G391" s="254"/>
      <c r="H391" s="254"/>
    </row>
    <row r="392" spans="2:8" ht="30" customHeight="1">
      <c r="B392" s="137"/>
      <c r="C392" s="167"/>
      <c r="D392" s="254"/>
      <c r="E392" s="254"/>
      <c r="F392" s="254"/>
      <c r="G392" s="254"/>
      <c r="H392" s="254"/>
    </row>
    <row r="393" spans="2:8" ht="30" customHeight="1">
      <c r="B393" s="137"/>
      <c r="C393" s="167"/>
      <c r="D393" s="254"/>
      <c r="E393" s="254"/>
      <c r="F393" s="254"/>
      <c r="G393" s="254"/>
      <c r="H393" s="254"/>
    </row>
    <row r="394" spans="2:8" ht="30" customHeight="1">
      <c r="B394" s="137"/>
      <c r="C394" s="167"/>
      <c r="D394" s="254"/>
      <c r="E394" s="254"/>
      <c r="F394" s="254"/>
      <c r="G394" s="254"/>
      <c r="H394" s="254"/>
    </row>
    <row r="395" spans="2:8" ht="30" customHeight="1">
      <c r="B395" s="137"/>
      <c r="C395" s="167"/>
      <c r="D395" s="254"/>
      <c r="E395" s="254"/>
      <c r="F395" s="254"/>
      <c r="G395" s="254"/>
      <c r="H395" s="254"/>
    </row>
    <row r="396" spans="2:8" ht="30" customHeight="1">
      <c r="B396" s="137"/>
      <c r="C396" s="167"/>
      <c r="D396" s="254"/>
      <c r="E396" s="254"/>
      <c r="F396" s="254"/>
      <c r="G396" s="254"/>
      <c r="H396" s="254"/>
    </row>
    <row r="397" spans="2:8" ht="30" customHeight="1">
      <c r="B397" s="137"/>
      <c r="C397" s="167"/>
      <c r="D397" s="254"/>
      <c r="E397" s="254"/>
      <c r="F397" s="254"/>
      <c r="G397" s="254"/>
      <c r="H397" s="254"/>
    </row>
    <row r="398" spans="2:8" ht="30" customHeight="1">
      <c r="B398" s="137"/>
      <c r="C398" s="167"/>
      <c r="D398" s="254"/>
      <c r="E398" s="254"/>
      <c r="F398" s="254"/>
      <c r="G398" s="254"/>
      <c r="H398" s="254"/>
    </row>
    <row r="399" spans="2:8" ht="30" customHeight="1">
      <c r="B399" s="137"/>
      <c r="C399" s="167"/>
      <c r="D399" s="254"/>
      <c r="E399" s="254"/>
      <c r="F399" s="254"/>
      <c r="G399" s="254"/>
      <c r="H399" s="254"/>
    </row>
    <row r="400" spans="2:8" ht="30" customHeight="1">
      <c r="B400" s="137"/>
      <c r="C400" s="167"/>
      <c r="D400" s="254"/>
      <c r="E400" s="254"/>
      <c r="F400" s="254"/>
      <c r="G400" s="254"/>
      <c r="H400" s="254"/>
    </row>
    <row r="401" spans="2:3" ht="30" customHeight="1">
      <c r="B401" s="137"/>
      <c r="C401" s="167"/>
    </row>
    <row r="402" spans="2:3" ht="30" customHeight="1">
      <c r="B402" s="137"/>
      <c r="C402" s="167"/>
    </row>
    <row r="403" spans="2:3" ht="30" customHeight="1">
      <c r="B403" s="137"/>
      <c r="C403" s="167"/>
    </row>
    <row r="404" spans="2:3" ht="30" customHeight="1">
      <c r="B404" s="137"/>
      <c r="C404" s="167"/>
    </row>
    <row r="405" spans="2:3" ht="30" customHeight="1">
      <c r="B405" s="137"/>
      <c r="C405" s="167"/>
    </row>
    <row r="406" spans="2:3" ht="30" customHeight="1">
      <c r="B406" s="137"/>
      <c r="C406" s="167"/>
    </row>
    <row r="407" spans="2:3" ht="30" customHeight="1">
      <c r="B407" s="137"/>
      <c r="C407" s="167"/>
    </row>
    <row r="408" spans="2:3" ht="30" customHeight="1">
      <c r="B408" s="137"/>
      <c r="C408" s="167"/>
    </row>
    <row r="409" spans="2:3" ht="30" customHeight="1">
      <c r="B409" s="137"/>
      <c r="C409" s="167"/>
    </row>
    <row r="410" spans="2:3" ht="30" customHeight="1">
      <c r="B410" s="137"/>
      <c r="C410" s="167"/>
    </row>
    <row r="411" spans="2:3" ht="30" customHeight="1">
      <c r="B411" s="137"/>
      <c r="C411" s="167"/>
    </row>
    <row r="412" spans="2:3" ht="30" customHeight="1">
      <c r="B412" s="137"/>
      <c r="C412" s="167"/>
    </row>
    <row r="413" spans="2:3" ht="30" customHeight="1">
      <c r="B413" s="137"/>
      <c r="C413" s="167"/>
    </row>
    <row r="414" spans="2:3" ht="30" customHeight="1">
      <c r="B414" s="137"/>
      <c r="C414" s="167"/>
    </row>
    <row r="415" spans="2:3" ht="30" customHeight="1">
      <c r="B415" s="137"/>
      <c r="C415" s="167"/>
    </row>
    <row r="416" spans="2:3" ht="30" customHeight="1">
      <c r="B416" s="137"/>
      <c r="C416" s="167"/>
    </row>
    <row r="417" spans="2:3" ht="30" customHeight="1">
      <c r="B417" s="137"/>
      <c r="C417" s="167"/>
    </row>
    <row r="418" spans="2:3" ht="30" customHeight="1">
      <c r="B418" s="137"/>
      <c r="C418" s="167"/>
    </row>
    <row r="419" spans="2:3" ht="30" customHeight="1">
      <c r="B419" s="137"/>
      <c r="C419" s="167"/>
    </row>
    <row r="420" spans="2:3" ht="30" customHeight="1">
      <c r="B420" s="137"/>
      <c r="C420" s="167"/>
    </row>
    <row r="421" spans="2:3" ht="30" customHeight="1">
      <c r="B421" s="137"/>
      <c r="C421" s="167"/>
    </row>
    <row r="422" spans="2:3" ht="30" customHeight="1">
      <c r="B422" s="137"/>
      <c r="C422" s="167"/>
    </row>
    <row r="423" spans="2:3" ht="30" customHeight="1">
      <c r="B423" s="137"/>
      <c r="C423" s="167"/>
    </row>
    <row r="424" spans="2:3" ht="30" customHeight="1">
      <c r="B424" s="137"/>
      <c r="C424" s="167"/>
    </row>
    <row r="425" spans="2:3" ht="30" customHeight="1">
      <c r="B425" s="137"/>
      <c r="C425" s="167"/>
    </row>
    <row r="426" spans="2:3" ht="30" customHeight="1">
      <c r="B426" s="137"/>
      <c r="C426" s="167"/>
    </row>
    <row r="427" spans="2:3" ht="30" customHeight="1">
      <c r="B427" s="137"/>
      <c r="C427" s="167"/>
    </row>
    <row r="428" spans="2:3" ht="30" customHeight="1">
      <c r="B428" s="137"/>
      <c r="C428" s="167"/>
    </row>
    <row r="429" spans="2:3" ht="30" customHeight="1">
      <c r="B429" s="137"/>
      <c r="C429" s="167"/>
    </row>
    <row r="430" spans="2:3" ht="30" customHeight="1">
      <c r="B430" s="137"/>
      <c r="C430" s="167"/>
    </row>
    <row r="431" spans="2:3" ht="30" customHeight="1">
      <c r="B431" s="137"/>
      <c r="C431" s="167"/>
    </row>
    <row r="432" spans="2:3" ht="30" customHeight="1">
      <c r="B432" s="137"/>
      <c r="C432" s="167"/>
    </row>
    <row r="433" spans="2:3" ht="30" customHeight="1">
      <c r="B433" s="137"/>
      <c r="C433" s="167"/>
    </row>
    <row r="434" spans="2:3" ht="30" customHeight="1">
      <c r="B434" s="137"/>
      <c r="C434" s="167"/>
    </row>
    <row r="435" spans="2:3" ht="30" customHeight="1">
      <c r="B435" s="137"/>
      <c r="C435" s="167"/>
    </row>
    <row r="436" spans="2:3" ht="30" customHeight="1">
      <c r="B436" s="137"/>
      <c r="C436" s="167"/>
    </row>
    <row r="437" spans="2:3" ht="30" customHeight="1">
      <c r="B437" s="137"/>
      <c r="C437" s="167"/>
    </row>
    <row r="438" spans="2:3" ht="30" customHeight="1">
      <c r="B438" s="137"/>
      <c r="C438" s="167"/>
    </row>
    <row r="439" spans="2:3" ht="30" customHeight="1">
      <c r="B439" s="137"/>
      <c r="C439" s="167"/>
    </row>
    <row r="440" spans="2:3" ht="30" customHeight="1">
      <c r="B440" s="137"/>
      <c r="C440" s="167"/>
    </row>
    <row r="441" spans="2:3" ht="30" customHeight="1">
      <c r="B441" s="137"/>
      <c r="C441" s="167"/>
    </row>
    <row r="442" spans="2:3" ht="30" customHeight="1">
      <c r="B442" s="137"/>
      <c r="C442" s="167"/>
    </row>
    <row r="443" spans="2:3" ht="30" customHeight="1">
      <c r="B443" s="137"/>
      <c r="C443" s="167"/>
    </row>
    <row r="444" spans="2:3" ht="30" customHeight="1">
      <c r="B444" s="137"/>
      <c r="C444" s="167"/>
    </row>
    <row r="445" spans="2:3" ht="30" customHeight="1">
      <c r="B445" s="137"/>
      <c r="C445" s="167"/>
    </row>
    <row r="446" spans="2:3" ht="30" customHeight="1">
      <c r="B446" s="137"/>
      <c r="C446" s="167"/>
    </row>
    <row r="447" spans="2:3" ht="30" customHeight="1">
      <c r="B447" s="137"/>
      <c r="C447" s="167"/>
    </row>
    <row r="448" spans="2:3" ht="30" customHeight="1">
      <c r="B448" s="137"/>
      <c r="C448" s="167"/>
    </row>
    <row r="449" spans="2:3" ht="30" customHeight="1">
      <c r="B449" s="137"/>
      <c r="C449" s="167"/>
    </row>
    <row r="450" spans="2:3" ht="30" customHeight="1">
      <c r="B450" s="137"/>
      <c r="C450" s="167"/>
    </row>
    <row r="451" spans="2:3" ht="30" customHeight="1">
      <c r="B451" s="137"/>
      <c r="C451" s="167"/>
    </row>
    <row r="452" spans="2:3" ht="30" customHeight="1">
      <c r="B452" s="137"/>
      <c r="C452" s="167"/>
    </row>
    <row r="453" spans="2:3" ht="30" customHeight="1">
      <c r="B453" s="137"/>
      <c r="C453" s="167"/>
    </row>
    <row r="454" spans="2:3" ht="30" customHeight="1">
      <c r="B454" s="137"/>
      <c r="C454" s="167"/>
    </row>
    <row r="455" spans="2:3" ht="30" customHeight="1">
      <c r="B455" s="137"/>
      <c r="C455" s="167"/>
    </row>
    <row r="456" spans="2:3" ht="30" customHeight="1">
      <c r="B456" s="137"/>
      <c r="C456" s="167"/>
    </row>
    <row r="457" spans="2:3" ht="30" customHeight="1">
      <c r="B457" s="137"/>
      <c r="C457" s="167"/>
    </row>
    <row r="458" spans="2:3" ht="30" customHeight="1">
      <c r="B458" s="137"/>
      <c r="C458" s="167"/>
    </row>
    <row r="459" spans="2:3" ht="30" customHeight="1">
      <c r="B459" s="137"/>
      <c r="C459" s="167"/>
    </row>
    <row r="460" spans="2:3" ht="30" customHeight="1">
      <c r="B460" s="137"/>
      <c r="C460" s="167"/>
    </row>
    <row r="461" spans="2:3" ht="30" customHeight="1">
      <c r="B461" s="137"/>
      <c r="C461" s="167"/>
    </row>
    <row r="462" spans="2:3" ht="30" customHeight="1">
      <c r="B462" s="137"/>
      <c r="C462" s="167"/>
    </row>
    <row r="463" spans="2:3" ht="30" customHeight="1">
      <c r="B463" s="137"/>
      <c r="C463" s="167"/>
    </row>
    <row r="464" spans="2:3" ht="30" customHeight="1">
      <c r="B464" s="137"/>
      <c r="C464" s="167"/>
    </row>
    <row r="465" spans="2:3" ht="30" customHeight="1">
      <c r="B465" s="137"/>
      <c r="C465" s="167"/>
    </row>
    <row r="466" spans="2:3" ht="30" customHeight="1">
      <c r="B466" s="137"/>
      <c r="C466" s="167"/>
    </row>
    <row r="467" spans="2:3" ht="30" customHeight="1">
      <c r="B467" s="137"/>
      <c r="C467" s="167"/>
    </row>
    <row r="468" spans="2:3" ht="30" customHeight="1">
      <c r="B468" s="137"/>
      <c r="C468" s="167"/>
    </row>
    <row r="469" spans="2:3" ht="30" customHeight="1">
      <c r="B469" s="137"/>
      <c r="C469" s="167"/>
    </row>
    <row r="470" spans="2:3" ht="30" customHeight="1">
      <c r="B470" s="137"/>
      <c r="C470" s="167"/>
    </row>
    <row r="471" spans="2:3" ht="30" customHeight="1">
      <c r="B471" s="137"/>
      <c r="C471" s="167"/>
    </row>
    <row r="472" spans="2:3" ht="30" customHeight="1">
      <c r="B472" s="137"/>
      <c r="C472" s="167"/>
    </row>
    <row r="473" spans="2:3" ht="30" customHeight="1">
      <c r="B473" s="137"/>
      <c r="C473" s="167"/>
    </row>
    <row r="474" spans="2:3" ht="30" customHeight="1">
      <c r="B474" s="137"/>
      <c r="C474" s="167"/>
    </row>
    <row r="475" spans="2:3" ht="30" customHeight="1">
      <c r="B475" s="137"/>
      <c r="C475" s="167"/>
    </row>
    <row r="476" spans="2:3" ht="30" customHeight="1">
      <c r="B476" s="137"/>
      <c r="C476" s="167"/>
    </row>
    <row r="477" spans="2:3" ht="30" customHeight="1">
      <c r="B477" s="137"/>
      <c r="C477" s="167"/>
    </row>
    <row r="478" spans="2:3" ht="30" customHeight="1">
      <c r="B478" s="137"/>
      <c r="C478" s="167"/>
    </row>
    <row r="479" spans="2:3" ht="30" customHeight="1">
      <c r="B479" s="137"/>
      <c r="C479" s="167"/>
    </row>
    <row r="480" spans="2:3" ht="30" customHeight="1">
      <c r="B480" s="137"/>
      <c r="C480" s="167"/>
    </row>
    <row r="481" spans="2:3" ht="30" customHeight="1">
      <c r="B481" s="137"/>
      <c r="C481" s="167"/>
    </row>
    <row r="482" spans="2:3" ht="30" customHeight="1">
      <c r="B482" s="137"/>
      <c r="C482" s="167"/>
    </row>
    <row r="483" spans="2:3" ht="30" customHeight="1">
      <c r="B483" s="137"/>
      <c r="C483" s="167"/>
    </row>
    <row r="484" spans="2:3" ht="30" customHeight="1">
      <c r="B484" s="137"/>
      <c r="C484" s="167"/>
    </row>
    <row r="485" spans="2:3" ht="30" customHeight="1">
      <c r="B485" s="137"/>
      <c r="C485" s="167"/>
    </row>
    <row r="486" spans="2:3" ht="30" customHeight="1">
      <c r="B486" s="137"/>
      <c r="C486" s="167"/>
    </row>
    <row r="487" spans="2:3" ht="30" customHeight="1">
      <c r="B487" s="137"/>
      <c r="C487" s="167"/>
    </row>
    <row r="488" spans="2:3" ht="30" customHeight="1">
      <c r="B488" s="137"/>
      <c r="C488" s="167"/>
    </row>
    <row r="489" spans="2:3" ht="30" customHeight="1">
      <c r="B489" s="137"/>
      <c r="C489" s="167"/>
    </row>
    <row r="490" spans="2:3" ht="30" customHeight="1">
      <c r="B490" s="137"/>
      <c r="C490" s="167"/>
    </row>
    <row r="491" spans="2:3" ht="30" customHeight="1">
      <c r="B491" s="137"/>
      <c r="C491" s="167"/>
    </row>
    <row r="492" spans="2:3" ht="30" customHeight="1">
      <c r="B492" s="137"/>
      <c r="C492" s="167"/>
    </row>
    <row r="493" spans="2:3" ht="30" customHeight="1">
      <c r="B493" s="137"/>
      <c r="C493" s="167"/>
    </row>
    <row r="494" spans="2:3" ht="30" customHeight="1">
      <c r="B494" s="137"/>
      <c r="C494" s="167"/>
    </row>
    <row r="495" spans="2:3" ht="30" customHeight="1">
      <c r="B495" s="137"/>
      <c r="C495" s="167"/>
    </row>
    <row r="496" spans="2:3" ht="30" customHeight="1">
      <c r="B496" s="137"/>
      <c r="C496" s="167"/>
    </row>
    <row r="497" spans="2:3" ht="30" customHeight="1">
      <c r="B497" s="137"/>
      <c r="C497" s="167"/>
    </row>
    <row r="498" spans="2:3" ht="30" customHeight="1">
      <c r="B498" s="137"/>
      <c r="C498" s="167"/>
    </row>
    <row r="499" spans="2:3" ht="30" customHeight="1">
      <c r="B499" s="137"/>
      <c r="C499" s="167"/>
    </row>
    <row r="500" spans="2:3" ht="30" customHeight="1">
      <c r="B500" s="137"/>
      <c r="C500" s="167"/>
    </row>
    <row r="501" spans="2:3" ht="30" customHeight="1">
      <c r="B501" s="137"/>
      <c r="C501" s="167"/>
    </row>
    <row r="502" spans="2:3" ht="30" customHeight="1">
      <c r="B502" s="137"/>
      <c r="C502" s="167"/>
    </row>
    <row r="503" spans="2:3" ht="30" customHeight="1">
      <c r="B503" s="137"/>
      <c r="C503" s="167"/>
    </row>
    <row r="504" spans="2:3" ht="30" customHeight="1">
      <c r="B504" s="137"/>
      <c r="C504" s="167"/>
    </row>
    <row r="505" spans="2:3" ht="30" customHeight="1">
      <c r="B505" s="137"/>
      <c r="C505" s="167"/>
    </row>
    <row r="506" spans="2:3" ht="30" customHeight="1">
      <c r="B506" s="137"/>
      <c r="C506" s="167"/>
    </row>
    <row r="507" spans="2:3" ht="30" customHeight="1">
      <c r="B507" s="137"/>
      <c r="C507" s="167"/>
    </row>
    <row r="508" spans="2:3" ht="30" customHeight="1">
      <c r="B508" s="137"/>
      <c r="C508" s="167"/>
    </row>
    <row r="509" spans="2:3" ht="30" customHeight="1">
      <c r="B509" s="137"/>
      <c r="C509" s="167"/>
    </row>
    <row r="510" spans="2:3" ht="30" customHeight="1">
      <c r="B510" s="137"/>
      <c r="C510" s="167"/>
    </row>
    <row r="511" spans="2:3" ht="30" customHeight="1">
      <c r="B511" s="137"/>
      <c r="C511" s="167"/>
    </row>
    <row r="512" spans="2:3" ht="30" customHeight="1">
      <c r="B512" s="137"/>
      <c r="C512" s="167"/>
    </row>
    <row r="513" spans="2:3" ht="30" customHeight="1">
      <c r="B513" s="137"/>
      <c r="C513" s="167"/>
    </row>
    <row r="514" spans="2:3" ht="30" customHeight="1">
      <c r="B514" s="137"/>
      <c r="C514" s="167"/>
    </row>
    <row r="515" spans="2:3" ht="30" customHeight="1">
      <c r="B515" s="137"/>
      <c r="C515" s="167"/>
    </row>
    <row r="516" spans="2:3" ht="30" customHeight="1">
      <c r="B516" s="137"/>
      <c r="C516" s="167"/>
    </row>
    <row r="517" spans="2:3" ht="30" customHeight="1">
      <c r="B517" s="137"/>
      <c r="C517" s="167"/>
    </row>
    <row r="518" spans="2:3">
      <c r="B518" s="137"/>
      <c r="C518" s="167"/>
    </row>
    <row r="519" spans="2:3">
      <c r="B519" s="137"/>
      <c r="C519" s="167"/>
    </row>
    <row r="520" spans="2:3">
      <c r="B520" s="137"/>
      <c r="C520" s="167"/>
    </row>
    <row r="521" spans="2:3">
      <c r="B521" s="137"/>
      <c r="C521" s="167"/>
    </row>
    <row r="522" spans="2:3">
      <c r="B522" s="137"/>
      <c r="C522" s="167"/>
    </row>
    <row r="523" spans="2:3">
      <c r="B523" s="137"/>
      <c r="C523" s="167"/>
    </row>
    <row r="524" spans="2:3">
      <c r="B524" s="137"/>
      <c r="C524" s="167"/>
    </row>
    <row r="525" spans="2:3">
      <c r="B525" s="137"/>
      <c r="C525" s="167"/>
    </row>
    <row r="526" spans="2:3">
      <c r="B526" s="137"/>
      <c r="C526" s="167"/>
    </row>
    <row r="527" spans="2:3">
      <c r="B527" s="137"/>
      <c r="C527" s="167"/>
    </row>
    <row r="528" spans="2:3">
      <c r="B528" s="185"/>
      <c r="C528" s="186"/>
    </row>
  </sheetData>
  <sheetProtection formatCells="0" formatColumns="0" formatRows="0" insertColumns="0" insertRows="0" insertHyperlinks="0" deleteColumns="0" deleteRows="0" sort="0" autoFilter="0" pivotTables="0"/>
  <autoFilter ref="A3:T310" xr:uid="{00000000-0009-0000-0000-000002000000}"/>
  <sortState xmlns:xlrd2="http://schemas.microsoft.com/office/spreadsheetml/2017/richdata2" ref="B308:T368">
    <sortCondition ref="B308:B368"/>
  </sortState>
  <mergeCells count="30">
    <mergeCell ref="F334:I334"/>
    <mergeCell ref="F333:I333"/>
    <mergeCell ref="B327:C327"/>
    <mergeCell ref="B328:C328"/>
    <mergeCell ref="B329:C329"/>
    <mergeCell ref="B332:C332"/>
    <mergeCell ref="F327:I327"/>
    <mergeCell ref="F328:I328"/>
    <mergeCell ref="F329:I329"/>
    <mergeCell ref="F330:I330"/>
    <mergeCell ref="F332:I332"/>
    <mergeCell ref="B330:C330"/>
    <mergeCell ref="B331:C331"/>
    <mergeCell ref="F331:I331"/>
    <mergeCell ref="A1:T1"/>
    <mergeCell ref="F323:J323"/>
    <mergeCell ref="F324:I324"/>
    <mergeCell ref="F325:I325"/>
    <mergeCell ref="F326:I326"/>
    <mergeCell ref="B323:D323"/>
    <mergeCell ref="B324:C324"/>
    <mergeCell ref="B325:C325"/>
    <mergeCell ref="B326:C326"/>
    <mergeCell ref="B314:C314"/>
    <mergeCell ref="B315:C315"/>
    <mergeCell ref="B316:C316"/>
    <mergeCell ref="B317:C317"/>
    <mergeCell ref="B320:C320"/>
    <mergeCell ref="B318:C318"/>
    <mergeCell ref="B319:C319"/>
  </mergeCells>
  <phoneticPr fontId="35" type="noConversion"/>
  <conditionalFormatting sqref="A308:T308 A309:B309 D309:S309 A310:T337 A338">
    <cfRule type="cellIs" dxfId="9" priority="12" operator="lessThan">
      <formula>0</formula>
    </cfRule>
  </conditionalFormatting>
  <conditionalFormatting sqref="D290 B290:B291">
    <cfRule type="cellIs" dxfId="8" priority="7" operator="lessThan">
      <formula>0</formula>
    </cfRule>
  </conditionalFormatting>
  <conditionalFormatting sqref="D290">
    <cfRule type="cellIs" dxfId="7" priority="6" operator="greaterThan">
      <formula>0</formula>
    </cfRule>
  </conditionalFormatting>
  <conditionalFormatting sqref="D324:D332">
    <cfRule type="cellIs" dxfId="6" priority="10" operator="greaterThanOrEqual">
      <formula>1</formula>
    </cfRule>
  </conditionalFormatting>
  <conditionalFormatting sqref="D292:O292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D308:T308 D309:S309 D310:T312">
    <cfRule type="cellIs" dxfId="3" priority="8" operator="greaterThan">
      <formula>0</formula>
    </cfRule>
  </conditionalFormatting>
  <conditionalFormatting sqref="J324:J334">
    <cfRule type="cellIs" dxfId="2" priority="9" operator="greaterThan">
      <formula>1</formula>
    </cfRule>
    <cfRule type="cellIs" dxfId="1" priority="1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scale="38" fitToHeight="0" orientation="landscape" horizontalDpi="300" verticalDpi="300" r:id="rId1"/>
  <ignoredErrors>
    <ignoredError sqref="P94 P4:S35 Q43:S57 P43:P57 P127:S147 P150:S171 P174:S183 P193:P208 R193:R211 S193:S211 P216:P228 R216:R228 S216:S228 P209:P211 R212 S212 P212" formulaRange="1"/>
    <ignoredError sqref="Q186:Q190 Q215" formula="1"/>
    <ignoredError sqref="Q193:Q211 Q216:Q228 Q212" formula="1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G28"/>
  <sheetViews>
    <sheetView showGridLines="0" tabSelected="1" workbookViewId="0">
      <selection activeCell="C29" sqref="C29"/>
    </sheetView>
  </sheetViews>
  <sheetFormatPr defaultColWidth="8.7109375" defaultRowHeight="14.45"/>
  <cols>
    <col min="1" max="1" width="56" bestFit="1" customWidth="1"/>
    <col min="2" max="2" width="18.7109375" bestFit="1" customWidth="1"/>
    <col min="3" max="5" width="17.7109375" bestFit="1" customWidth="1"/>
    <col min="6" max="7" width="18.7109375" bestFit="1" customWidth="1"/>
    <col min="8" max="8" width="25" customWidth="1"/>
  </cols>
  <sheetData>
    <row r="1" spans="1:7">
      <c r="A1" s="459" t="s">
        <v>938</v>
      </c>
      <c r="B1" s="459"/>
      <c r="C1" s="459"/>
      <c r="D1" s="459"/>
      <c r="E1" s="459"/>
      <c r="F1" s="459"/>
    </row>
    <row r="2" spans="1:7">
      <c r="A2" s="324" t="s">
        <v>939</v>
      </c>
      <c r="B2" s="325" t="s">
        <v>940</v>
      </c>
      <c r="C2" s="325" t="s">
        <v>941</v>
      </c>
      <c r="D2" s="325" t="s">
        <v>942</v>
      </c>
      <c r="E2" s="325" t="s">
        <v>943</v>
      </c>
      <c r="F2" s="325" t="s">
        <v>37</v>
      </c>
    </row>
    <row r="3" spans="1:7">
      <c r="A3" s="326" t="s">
        <v>919</v>
      </c>
      <c r="B3" s="327">
        <f>SUM('Receitas Gerais Previstas'!C31:E31)</f>
        <v>66568588.596666664</v>
      </c>
      <c r="C3" s="327">
        <f>SUM('Receitas Gerais Previstas'!F31:H31)</f>
        <v>67780328.75999999</v>
      </c>
      <c r="D3" s="327">
        <f>SUM('Receitas Gerais Previstas'!I31:K31)</f>
        <v>67760358.680000007</v>
      </c>
      <c r="E3" s="327">
        <f>SUM('Receitas Gerais Previstas'!L31:N31)</f>
        <v>67760358.680000007</v>
      </c>
      <c r="F3" s="327">
        <f>SUM(B3:E3)</f>
        <v>269869634.7166667</v>
      </c>
      <c r="G3" s="331"/>
    </row>
    <row r="4" spans="1:7">
      <c r="A4" s="326" t="s">
        <v>921</v>
      </c>
      <c r="B4" s="327">
        <f>'Despesas Gerais Previstas'!P306</f>
        <v>57813085.661982499</v>
      </c>
      <c r="C4" s="327">
        <f>'Despesas Gerais Previstas'!Q306</f>
        <v>63641609.033677496</v>
      </c>
      <c r="D4" s="327">
        <f>'Despesas Gerais Previstas'!R306</f>
        <v>63958658.961877495</v>
      </c>
      <c r="E4" s="327">
        <f>'Despesas Gerais Previstas'!S306</f>
        <v>66811956.182912506</v>
      </c>
      <c r="F4" s="327">
        <f>SUM(B4:E4)</f>
        <v>252225309.84044999</v>
      </c>
      <c r="G4" s="331"/>
    </row>
    <row r="5" spans="1:7">
      <c r="A5" s="326" t="s">
        <v>922</v>
      </c>
      <c r="B5" s="327">
        <f>B3-B4</f>
        <v>8755502.9346841648</v>
      </c>
      <c r="C5" s="327">
        <f>C3-C4</f>
        <v>4138719.7263224944</v>
      </c>
      <c r="D5" s="327">
        <f>D3-D4</f>
        <v>3801699.7181225121</v>
      </c>
      <c r="E5" s="327">
        <f>E3-E4</f>
        <v>948402.49708750099</v>
      </c>
      <c r="F5" s="327">
        <f>SUM(B5:E5)</f>
        <v>17644324.876216672</v>
      </c>
      <c r="G5" s="331"/>
    </row>
    <row r="6" spans="1:7">
      <c r="A6" s="326" t="s">
        <v>924</v>
      </c>
      <c r="B6" s="327">
        <f>'Despesas Gerais Previstas'!P302</f>
        <v>2462114.4500000002</v>
      </c>
      <c r="C6" s="327">
        <f>'Despesas Gerais Previstas'!Q302</f>
        <v>3377601.55</v>
      </c>
      <c r="D6" s="327">
        <f>'Despesas Gerais Previstas'!R302</f>
        <v>5674581.5499999998</v>
      </c>
      <c r="E6" s="327">
        <f>'Despesas Gerais Previstas'!S302</f>
        <v>3336092.5500000003</v>
      </c>
      <c r="F6" s="327">
        <f>SUM(B6:E6)</f>
        <v>14850390.100000001</v>
      </c>
      <c r="G6" s="331"/>
    </row>
    <row r="7" spans="1:7" hidden="1">
      <c r="A7" s="326" t="s">
        <v>926</v>
      </c>
      <c r="B7" s="327">
        <f>'Despesas Gerais Previstas'!P191</f>
        <v>0</v>
      </c>
      <c r="C7" s="327">
        <f>'Despesas Gerais Previstas'!Q191</f>
        <v>0</v>
      </c>
      <c r="D7" s="327">
        <f>'Despesas Gerais Previstas'!R191</f>
        <v>0</v>
      </c>
      <c r="E7" s="327">
        <f>'Despesas Gerais Previstas'!S191</f>
        <v>0</v>
      </c>
      <c r="F7" s="327">
        <f t="shared" ref="F7" si="0">SUM(B7:E7)</f>
        <v>0</v>
      </c>
      <c r="G7" s="331"/>
    </row>
    <row r="8" spans="1:7">
      <c r="A8" s="326" t="s">
        <v>944</v>
      </c>
      <c r="B8" s="327">
        <f>'Despesas Gerais Previstas'!P12</f>
        <v>0</v>
      </c>
      <c r="C8" s="327">
        <f>'Despesas Gerais Previstas'!Q12</f>
        <v>2913718.26</v>
      </c>
      <c r="D8" s="327">
        <f>'Despesas Gerais Previstas'!R12</f>
        <v>0</v>
      </c>
      <c r="E8" s="327">
        <f>'Despesas Gerais Previstas'!S12</f>
        <v>2913718.26</v>
      </c>
      <c r="F8" s="327">
        <f>SUM(B8:E8)</f>
        <v>5827436.5199999996</v>
      </c>
      <c r="G8" s="331"/>
    </row>
    <row r="9" spans="1:7">
      <c r="A9" s="326" t="s">
        <v>945</v>
      </c>
      <c r="B9" s="327">
        <f>'Despesas Gerais Previstas'!P13</f>
        <v>354124.6</v>
      </c>
      <c r="C9" s="327">
        <f>'Despesas Gerais Previstas'!Q13</f>
        <v>441819.64</v>
      </c>
      <c r="D9" s="327">
        <f>'Despesas Gerais Previstas'!R13</f>
        <v>370437.78</v>
      </c>
      <c r="E9" s="327">
        <f>'Despesas Gerais Previstas'!S13</f>
        <v>592073.51</v>
      </c>
      <c r="F9" s="327">
        <f>SUM(B9:E9)</f>
        <v>1758455.53</v>
      </c>
      <c r="G9" s="331"/>
    </row>
    <row r="10" spans="1:7">
      <c r="A10" s="326" t="s">
        <v>946</v>
      </c>
      <c r="B10" s="327">
        <f>'Despesas Gerais Previstas'!P32</f>
        <v>90000</v>
      </c>
      <c r="C10" s="327">
        <f>'Despesas Gerais Previstas'!Q32</f>
        <v>90000</v>
      </c>
      <c r="D10" s="327">
        <f>'Despesas Gerais Previstas'!R32</f>
        <v>90000</v>
      </c>
      <c r="E10" s="327">
        <f>'Despesas Gerais Previstas'!S32</f>
        <v>90000</v>
      </c>
      <c r="F10" s="327">
        <f>SUM(B10:E10)</f>
        <v>360000</v>
      </c>
      <c r="G10" s="331"/>
    </row>
    <row r="11" spans="1:7">
      <c r="A11" s="324" t="s">
        <v>220</v>
      </c>
      <c r="B11" s="328">
        <f>SUM(B5:B10)</f>
        <v>11661741.984684164</v>
      </c>
      <c r="C11" s="328">
        <f>SUM(C5:C10)</f>
        <v>10961859.176322494</v>
      </c>
      <c r="D11" s="328">
        <f t="shared" ref="D11:F11" si="1">SUM(D5:D10)</f>
        <v>9936719.0481225122</v>
      </c>
      <c r="E11" s="328">
        <f t="shared" si="1"/>
        <v>7880286.8170875013</v>
      </c>
      <c r="F11" s="328">
        <f t="shared" si="1"/>
        <v>40440607.026216671</v>
      </c>
    </row>
    <row r="13" spans="1:7">
      <c r="A13" s="458" t="s">
        <v>947</v>
      </c>
      <c r="B13" s="458"/>
      <c r="C13" s="458"/>
      <c r="D13" s="458"/>
      <c r="E13" s="458"/>
      <c r="F13" s="458"/>
    </row>
    <row r="14" spans="1:7">
      <c r="A14" s="329" t="s">
        <v>939</v>
      </c>
      <c r="B14" s="330" t="s">
        <v>940</v>
      </c>
      <c r="C14" s="330" t="s">
        <v>941</v>
      </c>
      <c r="D14" s="330" t="s">
        <v>942</v>
      </c>
      <c r="E14" s="330" t="s">
        <v>943</v>
      </c>
      <c r="F14" s="330" t="s">
        <v>37</v>
      </c>
    </row>
    <row r="15" spans="1:7">
      <c r="A15" s="332" t="s">
        <v>920</v>
      </c>
      <c r="B15" s="327">
        <f>SUM('Despesas Gerais Previstas'!D320:F320)</f>
        <v>60283409.987000003</v>
      </c>
      <c r="C15" s="332">
        <f>SUM('Despesas Gerais Previstas'!G320:I320)</f>
        <v>65373976.134000003</v>
      </c>
      <c r="D15" s="332">
        <f>SUM('Despesas Gerais Previstas'!J320:L320)</f>
        <v>65356003.062000006</v>
      </c>
      <c r="E15" s="424">
        <f>SUM('Despesas Gerais Previstas'!M320:O320)</f>
        <v>65356003.062000006</v>
      </c>
      <c r="F15" s="332">
        <f>SUM(B15:E15)</f>
        <v>256369392.24500003</v>
      </c>
    </row>
    <row r="16" spans="1:7">
      <c r="A16" s="332" t="s">
        <v>921</v>
      </c>
      <c r="B16" s="327">
        <f>'Despesas Gerais Previstas'!P306</f>
        <v>57813085.661982499</v>
      </c>
      <c r="C16" s="327">
        <f>'Despesas Gerais Previstas'!Q306</f>
        <v>63641609.033677496</v>
      </c>
      <c r="D16" s="327">
        <f>'Despesas Gerais Previstas'!R306</f>
        <v>63958658.961877495</v>
      </c>
      <c r="E16" s="327">
        <f>'Despesas Gerais Previstas'!S306</f>
        <v>66811956.182912506</v>
      </c>
      <c r="F16" s="332">
        <f t="shared" ref="F16:F24" si="2">SUM(B16:E16)</f>
        <v>252225309.84044999</v>
      </c>
    </row>
    <row r="17" spans="1:6">
      <c r="A17" s="332" t="s">
        <v>923</v>
      </c>
      <c r="B17" s="327">
        <f>B15-B16</f>
        <v>2470324.3250175044</v>
      </c>
      <c r="C17" s="332">
        <f>C15-C16</f>
        <v>1732367.1003225073</v>
      </c>
      <c r="D17" s="332">
        <f>D15-D16</f>
        <v>1397344.1001225114</v>
      </c>
      <c r="E17" s="332">
        <f>E15-E16</f>
        <v>-1455953.1209124997</v>
      </c>
      <c r="F17" s="332">
        <f>SUM(B17:E17)</f>
        <v>4144082.4045500234</v>
      </c>
    </row>
    <row r="18" spans="1:6">
      <c r="A18" s="332" t="s">
        <v>925</v>
      </c>
      <c r="B18" s="327">
        <f>'Despesas Gerais Previstas'!P229</f>
        <v>6057000</v>
      </c>
      <c r="C18" s="327">
        <f>'Despesas Gerais Previstas'!Q229</f>
        <v>6057000</v>
      </c>
      <c r="D18" s="327">
        <f>'Despesas Gerais Previstas'!R229</f>
        <v>6057000</v>
      </c>
      <c r="E18" s="327">
        <f>'Despesas Gerais Previstas'!S229</f>
        <v>6057000</v>
      </c>
      <c r="F18" s="332">
        <f t="shared" si="2"/>
        <v>24228000</v>
      </c>
    </row>
    <row r="19" spans="1:6">
      <c r="A19" s="332" t="s">
        <v>927</v>
      </c>
      <c r="B19" s="327">
        <f>'Despesas Gerais Previstas'!P208</f>
        <v>120000</v>
      </c>
      <c r="C19" s="327">
        <f>'Despesas Gerais Previstas'!Q208</f>
        <v>120000</v>
      </c>
      <c r="D19" s="327">
        <f>'Despesas Gerais Previstas'!R208</f>
        <v>120000</v>
      </c>
      <c r="E19" s="327">
        <f>'Despesas Gerais Previstas'!S208</f>
        <v>120000</v>
      </c>
      <c r="F19" s="332">
        <f t="shared" si="2"/>
        <v>480000</v>
      </c>
    </row>
    <row r="20" spans="1:6">
      <c r="A20" s="332" t="s">
        <v>929</v>
      </c>
      <c r="B20" s="327">
        <f>'Despesas Gerais Previstas'!P220</f>
        <v>1650000</v>
      </c>
      <c r="C20" s="327">
        <f>'Despesas Gerais Previstas'!Q220</f>
        <v>1650000</v>
      </c>
      <c r="D20" s="327">
        <f>'Despesas Gerais Previstas'!R220</f>
        <v>1650000</v>
      </c>
      <c r="E20" s="327">
        <f>'Despesas Gerais Previstas'!S220</f>
        <v>1650000</v>
      </c>
      <c r="F20" s="332">
        <f>SUM(B20:E20)</f>
        <v>6600000</v>
      </c>
    </row>
    <row r="21" spans="1:6">
      <c r="A21" s="332" t="s">
        <v>931</v>
      </c>
      <c r="B21" s="327">
        <f>'Despesas Gerais Previstas'!P222</f>
        <v>2100000</v>
      </c>
      <c r="C21" s="327">
        <f>'Despesas Gerais Previstas'!Q222</f>
        <v>2100000</v>
      </c>
      <c r="D21" s="327">
        <f>'Despesas Gerais Previstas'!R222</f>
        <v>2100000</v>
      </c>
      <c r="E21" s="327">
        <f>'Despesas Gerais Previstas'!S222</f>
        <v>2100000</v>
      </c>
      <c r="F21" s="332">
        <f t="shared" si="2"/>
        <v>8400000</v>
      </c>
    </row>
    <row r="22" spans="1:6" hidden="1">
      <c r="A22" s="332" t="s">
        <v>933</v>
      </c>
      <c r="B22" s="332">
        <v>0</v>
      </c>
      <c r="C22" s="332">
        <v>0</v>
      </c>
      <c r="D22" s="332">
        <v>0</v>
      </c>
      <c r="E22" s="332">
        <v>0</v>
      </c>
      <c r="F22" s="332">
        <f t="shared" si="2"/>
        <v>0</v>
      </c>
    </row>
    <row r="23" spans="1:6">
      <c r="A23" s="332" t="s">
        <v>948</v>
      </c>
      <c r="B23" s="327">
        <v>75000</v>
      </c>
      <c r="C23" s="327">
        <v>75000</v>
      </c>
      <c r="D23" s="327">
        <v>75000</v>
      </c>
      <c r="E23" s="327">
        <v>75000</v>
      </c>
      <c r="F23" s="332">
        <f>SUM(B23:E23)</f>
        <v>300000</v>
      </c>
    </row>
    <row r="24" spans="1:6" hidden="1">
      <c r="A24" s="332" t="s">
        <v>935</v>
      </c>
      <c r="B24" s="327">
        <f>'Despesas Gerais Previstas'!P188</f>
        <v>0</v>
      </c>
      <c r="C24" s="327">
        <f>'Despesas Gerais Previstas'!Q188</f>
        <v>0</v>
      </c>
      <c r="D24" s="327">
        <f>'Despesas Gerais Previstas'!R188</f>
        <v>0</v>
      </c>
      <c r="E24" s="327">
        <f>'Despesas Gerais Previstas'!S188</f>
        <v>0</v>
      </c>
      <c r="F24" s="332">
        <f t="shared" si="2"/>
        <v>0</v>
      </c>
    </row>
    <row r="25" spans="1:6">
      <c r="A25" s="329" t="s">
        <v>221</v>
      </c>
      <c r="B25" s="334">
        <f>B17+B18+B19-B23</f>
        <v>8572324.3250175044</v>
      </c>
      <c r="C25" s="334">
        <f>C17+C18+C19-C23</f>
        <v>7834367.1003225073</v>
      </c>
      <c r="D25" s="334">
        <f>D17+D18+D19-D23</f>
        <v>7499344.1001225114</v>
      </c>
      <c r="E25" s="334">
        <f>E17+E18+E19-E23</f>
        <v>4646046.8790875003</v>
      </c>
      <c r="F25" s="334">
        <f>F17+F18+F19-F23</f>
        <v>28552082.404550023</v>
      </c>
    </row>
    <row r="26" spans="1:6">
      <c r="A26" s="331"/>
    </row>
    <row r="27" spans="1:6">
      <c r="A27" s="331"/>
    </row>
    <row r="28" spans="1:6">
      <c r="A28" s="331"/>
    </row>
  </sheetData>
  <mergeCells count="2">
    <mergeCell ref="A13:F13"/>
    <mergeCell ref="A1:F1"/>
  </mergeCells>
  <conditionalFormatting sqref="A1:F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109375" defaultRowHeight="14.4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63"/>
  <sheetViews>
    <sheetView showGridLines="0" workbookViewId="0">
      <selection activeCell="D8" sqref="D8"/>
    </sheetView>
  </sheetViews>
  <sheetFormatPr defaultColWidth="8.7109375" defaultRowHeight="14.45"/>
  <cols>
    <col min="1" max="1" width="12.140625" customWidth="1"/>
    <col min="6" max="6" width="20.7109375" customWidth="1"/>
    <col min="7" max="7" width="15.140625" customWidth="1"/>
  </cols>
  <sheetData>
    <row r="2" spans="1:6">
      <c r="C2" s="140" t="s">
        <v>949</v>
      </c>
    </row>
    <row r="3" spans="1:6">
      <c r="A3" s="140" t="s">
        <v>950</v>
      </c>
    </row>
    <row r="4" spans="1:6">
      <c r="A4" s="140"/>
    </row>
    <row r="5" spans="1:6">
      <c r="A5" s="140"/>
      <c r="F5" s="148"/>
    </row>
    <row r="6" spans="1:6">
      <c r="F6" s="149"/>
    </row>
    <row r="7" spans="1:6">
      <c r="F7" s="150"/>
    </row>
    <row r="8" spans="1:6">
      <c r="F8" s="150"/>
    </row>
    <row r="9" spans="1:6">
      <c r="A9" s="140"/>
    </row>
    <row r="12" spans="1:6">
      <c r="A12" s="140"/>
    </row>
    <row r="13" spans="1:6">
      <c r="A13" s="140"/>
    </row>
    <row r="16" spans="1:6">
      <c r="A16" s="142"/>
      <c r="F16" s="152"/>
    </row>
    <row r="18" spans="1:1">
      <c r="A18" s="140"/>
    </row>
    <row r="19" spans="1:1">
      <c r="A19" s="140"/>
    </row>
    <row r="23" spans="1:1">
      <c r="A23" s="140"/>
    </row>
    <row r="24" spans="1:1">
      <c r="A24" s="140"/>
    </row>
    <row r="28" spans="1:1">
      <c r="A28" s="140"/>
    </row>
    <row r="29" spans="1:1">
      <c r="A29" s="140"/>
    </row>
    <row r="32" spans="1:1">
      <c r="A32" s="140"/>
    </row>
    <row r="33" spans="1:1">
      <c r="A33" s="140"/>
    </row>
    <row r="35" spans="1:1">
      <c r="A35" s="140"/>
    </row>
    <row r="36" spans="1:1">
      <c r="A36" s="140"/>
    </row>
    <row r="39" spans="1:1">
      <c r="A39" s="140"/>
    </row>
    <row r="40" spans="1:1">
      <c r="A40" s="140"/>
    </row>
    <row r="45" spans="1:1">
      <c r="A45" s="140"/>
    </row>
    <row r="46" spans="1:1">
      <c r="A46" s="140"/>
    </row>
    <row r="49" spans="1:1">
      <c r="A49" s="140"/>
    </row>
    <row r="50" spans="1:1">
      <c r="A50" s="140"/>
    </row>
    <row r="55" spans="1:1">
      <c r="A55" s="140"/>
    </row>
    <row r="56" spans="1:1">
      <c r="A56" s="140"/>
    </row>
    <row r="60" spans="1:1">
      <c r="A60" s="140"/>
    </row>
    <row r="61" spans="1:1">
      <c r="A61" s="140"/>
    </row>
    <row r="66" spans="1:9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>
      <c r="A68" s="140"/>
      <c r="B68" s="140"/>
      <c r="C68" s="140"/>
      <c r="D68" s="140"/>
      <c r="E68" s="140"/>
      <c r="F68" s="140"/>
      <c r="G68" s="140"/>
      <c r="H68" s="140"/>
      <c r="I68" s="140"/>
    </row>
    <row r="70" spans="1:9">
      <c r="A70" s="140"/>
    </row>
    <row r="71" spans="1:9">
      <c r="A71" s="140"/>
    </row>
    <row r="78" spans="1:9">
      <c r="A78" s="140"/>
    </row>
    <row r="79" spans="1:9">
      <c r="A79" s="140"/>
    </row>
    <row r="84" spans="1:1">
      <c r="A84" s="140"/>
    </row>
    <row r="85" spans="1:1">
      <c r="A85" s="140"/>
    </row>
    <row r="88" spans="1:1" hidden="1"/>
    <row r="92" spans="1:1">
      <c r="A92" s="140"/>
    </row>
    <row r="93" spans="1:1">
      <c r="A93" s="140"/>
    </row>
    <row r="96" spans="1:1">
      <c r="A96" s="140"/>
    </row>
    <row r="97" spans="1:6">
      <c r="A97" s="140"/>
    </row>
    <row r="98" spans="1:6">
      <c r="A98" s="140"/>
    </row>
    <row r="99" spans="1:6">
      <c r="A99" s="140"/>
      <c r="F99" s="153"/>
    </row>
    <row r="101" spans="1:6">
      <c r="A101" s="140"/>
    </row>
    <row r="102" spans="1:6">
      <c r="A102" s="140"/>
    </row>
    <row r="105" spans="1:6">
      <c r="A105" s="140"/>
    </row>
    <row r="106" spans="1:6">
      <c r="A106" s="140"/>
    </row>
    <row r="107" spans="1:6">
      <c r="A107" s="140"/>
    </row>
    <row r="108" spans="1:6">
      <c r="A108" s="140"/>
    </row>
    <row r="109" spans="1:6">
      <c r="A109" s="140"/>
    </row>
    <row r="110" spans="1:6">
      <c r="A110" s="140"/>
    </row>
    <row r="111" spans="1:6">
      <c r="A111" s="140"/>
    </row>
    <row r="113" spans="1:7">
      <c r="A113" s="140"/>
    </row>
    <row r="114" spans="1:7">
      <c r="A114" s="140"/>
    </row>
    <row r="116" spans="1:7">
      <c r="A116" s="460"/>
      <c r="B116" s="460"/>
      <c r="C116" s="460"/>
      <c r="D116" s="460"/>
      <c r="E116" s="460"/>
      <c r="F116" s="460"/>
      <c r="G116" s="460"/>
    </row>
    <row r="123" spans="1:7">
      <c r="A123" s="140"/>
    </row>
    <row r="124" spans="1:7">
      <c r="A124" s="140"/>
    </row>
    <row r="125" spans="1:7">
      <c r="A125" s="140"/>
    </row>
    <row r="127" spans="1:7">
      <c r="C127" s="140"/>
    </row>
    <row r="129" spans="1:1">
      <c r="A129" s="140"/>
    </row>
    <row r="133" spans="1:1">
      <c r="A133" s="140"/>
    </row>
    <row r="137" spans="1:1">
      <c r="A137" s="140"/>
    </row>
    <row r="143" spans="1:1">
      <c r="A143" s="140"/>
    </row>
    <row r="149" spans="1:1">
      <c r="A149" s="140"/>
    </row>
    <row r="154" spans="1:1">
      <c r="A154" s="140"/>
    </row>
    <row r="156" spans="1:1">
      <c r="A156" s="151"/>
    </row>
    <row r="160" spans="1:1">
      <c r="A160" s="140"/>
    </row>
    <row r="162" spans="1:1">
      <c r="A162" s="140"/>
    </row>
    <row r="163" spans="1:1">
      <c r="A163" s="140"/>
    </row>
  </sheetData>
  <mergeCells count="1">
    <mergeCell ref="A116:G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workbookViewId="0">
      <selection activeCell="G23" sqref="G23"/>
    </sheetView>
  </sheetViews>
  <sheetFormatPr defaultColWidth="8.7109375" defaultRowHeight="14.45"/>
  <sheetData>
    <row r="1" spans="1:6">
      <c r="A1" s="2"/>
      <c r="B1" s="1"/>
      <c r="C1" s="1"/>
      <c r="D1" s="1"/>
      <c r="E1" s="1"/>
      <c r="F1" s="1"/>
    </row>
    <row r="2" spans="1:6">
      <c r="A2" s="2" t="s">
        <v>951</v>
      </c>
      <c r="B2" s="1"/>
      <c r="C2" s="1"/>
      <c r="D2" s="1"/>
      <c r="E2" s="1"/>
      <c r="F2" s="1"/>
    </row>
    <row r="3" spans="1:6">
      <c r="A3" s="2" t="s">
        <v>952</v>
      </c>
      <c r="B3" s="1"/>
      <c r="C3" s="1"/>
      <c r="D3" s="1"/>
      <c r="E3" s="1"/>
      <c r="F3" s="1"/>
    </row>
    <row r="4" spans="1:6">
      <c r="A4" s="2" t="s">
        <v>953</v>
      </c>
      <c r="B4" s="1"/>
      <c r="C4" s="1"/>
      <c r="D4" s="1"/>
      <c r="E4" s="1"/>
      <c r="F4" s="1"/>
    </row>
    <row r="5" spans="1:6">
      <c r="A5" s="2" t="s">
        <v>954</v>
      </c>
      <c r="B5" s="1"/>
      <c r="C5" s="1"/>
      <c r="D5" s="1"/>
      <c r="E5" s="1"/>
      <c r="F5" s="1"/>
    </row>
    <row r="6" spans="1:6">
      <c r="A6" s="2" t="s">
        <v>955</v>
      </c>
      <c r="B6" s="1"/>
      <c r="C6" s="1"/>
      <c r="D6" s="1"/>
      <c r="E6" s="1"/>
      <c r="F6" s="1"/>
    </row>
    <row r="7" spans="1:6">
      <c r="A7" s="2" t="s">
        <v>956</v>
      </c>
      <c r="B7" s="1"/>
      <c r="C7" s="1"/>
      <c r="D7" s="1"/>
      <c r="E7" s="1"/>
      <c r="F7" s="1"/>
    </row>
    <row r="8" spans="1:6">
      <c r="A8" s="2" t="s">
        <v>957</v>
      </c>
      <c r="B8" s="1"/>
      <c r="C8" s="1"/>
      <c r="D8" s="1"/>
      <c r="E8" s="1"/>
      <c r="F8" s="1"/>
    </row>
    <row r="9" spans="1:6">
      <c r="A9" s="2" t="s">
        <v>958</v>
      </c>
      <c r="B9" s="1"/>
      <c r="C9" s="1"/>
      <c r="D9" s="1"/>
      <c r="E9" s="1"/>
      <c r="F9" s="1"/>
    </row>
    <row r="10" spans="1:6">
      <c r="A10" s="2" t="s">
        <v>959</v>
      </c>
      <c r="B10" s="1"/>
      <c r="C10" s="1"/>
      <c r="D10" s="1"/>
      <c r="E10" s="1"/>
      <c r="F10" s="1"/>
    </row>
    <row r="11" spans="1:6">
      <c r="A11" s="2" t="s">
        <v>960</v>
      </c>
      <c r="B11" s="1"/>
      <c r="C11" s="1"/>
      <c r="D11" s="1"/>
      <c r="E11" s="1"/>
      <c r="F11" s="1"/>
    </row>
    <row r="12" spans="1:6">
      <c r="A12" s="2" t="s">
        <v>961</v>
      </c>
      <c r="B12" s="1"/>
      <c r="C12" s="1"/>
      <c r="D12" s="1"/>
      <c r="E12" s="1"/>
      <c r="F12" s="1"/>
    </row>
    <row r="13" spans="1:6">
      <c r="A13" s="2" t="s">
        <v>962</v>
      </c>
      <c r="B13" s="1"/>
      <c r="C13" s="1"/>
      <c r="D13" s="1"/>
      <c r="E13" s="1"/>
      <c r="F13" s="1"/>
    </row>
    <row r="14" spans="1:6">
      <c r="A14" s="2" t="s">
        <v>963</v>
      </c>
      <c r="B14" s="1"/>
      <c r="C14" s="1"/>
      <c r="D14" s="1"/>
      <c r="E14" s="1"/>
      <c r="F14" s="1"/>
    </row>
    <row r="15" spans="1:6">
      <c r="A15" s="2"/>
      <c r="B15" s="1"/>
      <c r="C15" s="1"/>
      <c r="D15" s="1"/>
      <c r="E15" s="1"/>
      <c r="F15" s="1"/>
    </row>
    <row r="16" spans="1:6">
      <c r="A16" s="13" t="s">
        <v>964</v>
      </c>
      <c r="B16" s="4"/>
      <c r="C16" s="4"/>
      <c r="D16" s="4"/>
      <c r="E16" s="4"/>
      <c r="F16" s="4"/>
    </row>
    <row r="17" spans="1:6">
      <c r="A17" s="13" t="s">
        <v>965</v>
      </c>
      <c r="B17" s="4"/>
      <c r="C17" s="4"/>
      <c r="D17" s="4"/>
      <c r="E17" s="4"/>
      <c r="F17" s="4"/>
    </row>
    <row r="18" spans="1:6">
      <c r="A18" s="13" t="s">
        <v>966</v>
      </c>
      <c r="B18" s="4"/>
      <c r="C18" s="4"/>
      <c r="D18" s="4"/>
      <c r="E18" s="4"/>
      <c r="F18" s="4"/>
    </row>
    <row r="19" spans="1:6">
      <c r="A19" s="3" t="s">
        <v>967</v>
      </c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7"/>
  <sheetViews>
    <sheetView topLeftCell="A71" zoomScale="170" zoomScaleNormal="170" workbookViewId="0">
      <pane xSplit="2" topLeftCell="I1" activePane="topRight" state="frozen"/>
      <selection pane="topRight" activeCell="O217" sqref="O217"/>
    </sheetView>
  </sheetViews>
  <sheetFormatPr defaultColWidth="9.140625" defaultRowHeight="13.15"/>
  <cols>
    <col min="1" max="1" width="54.7109375" style="47" customWidth="1"/>
    <col min="2" max="2" width="38.7109375" style="9" hidden="1" customWidth="1"/>
    <col min="3" max="6" width="14.140625" style="1" customWidth="1"/>
    <col min="7" max="7" width="16.28515625" style="1" customWidth="1"/>
    <col min="8" max="8" width="14.7109375" style="1" customWidth="1"/>
    <col min="9" max="9" width="14.140625" style="1" customWidth="1"/>
    <col min="10" max="10" width="15.7109375" style="1" customWidth="1"/>
    <col min="11" max="11" width="15.28515625" style="1" customWidth="1"/>
    <col min="12" max="12" width="14.140625" style="1" customWidth="1"/>
    <col min="13" max="14" width="14.7109375" style="1" customWidth="1"/>
    <col min="15" max="15" width="15" style="1" bestFit="1" customWidth="1"/>
    <col min="16" max="16" width="13.7109375" style="1" bestFit="1" customWidth="1"/>
    <col min="17" max="16384" width="9.140625" style="1"/>
  </cols>
  <sheetData>
    <row r="1" spans="1:15" ht="29.25" customHeight="1">
      <c r="A1" s="461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3"/>
    </row>
    <row r="2" spans="1:15" ht="29.25" customHeight="1">
      <c r="A2" s="62" t="s">
        <v>1</v>
      </c>
      <c r="B2" s="45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25.5" hidden="1" customHeight="1">
      <c r="A3" s="63" t="s">
        <v>2</v>
      </c>
      <c r="B3" s="46"/>
      <c r="C3" s="41" t="s">
        <v>336</v>
      </c>
      <c r="D3" s="41" t="s">
        <v>337</v>
      </c>
      <c r="E3" s="41" t="s">
        <v>338</v>
      </c>
      <c r="F3" s="41" t="s">
        <v>339</v>
      </c>
      <c r="G3" s="41" t="s">
        <v>340</v>
      </c>
      <c r="H3" s="41" t="s">
        <v>341</v>
      </c>
      <c r="I3" s="41" t="s">
        <v>342</v>
      </c>
      <c r="J3" s="41" t="s">
        <v>343</v>
      </c>
      <c r="K3" s="41" t="s">
        <v>344</v>
      </c>
      <c r="L3" s="41" t="s">
        <v>345</v>
      </c>
      <c r="M3" s="41" t="s">
        <v>346</v>
      </c>
      <c r="N3" s="41" t="s">
        <v>347</v>
      </c>
      <c r="O3" s="40" t="s">
        <v>352</v>
      </c>
    </row>
    <row r="4" spans="1:15" ht="20.25" hidden="1" customHeight="1">
      <c r="A4" s="47" t="s">
        <v>968</v>
      </c>
      <c r="C4" s="130">
        <v>121618.51</v>
      </c>
      <c r="D4" s="130">
        <v>84507.04</v>
      </c>
      <c r="E4" s="130">
        <v>59463.78</v>
      </c>
      <c r="F4" s="130">
        <v>82937.83</v>
      </c>
      <c r="G4" s="130">
        <v>82937.83</v>
      </c>
      <c r="H4" s="130">
        <v>82937.83</v>
      </c>
      <c r="I4" s="130">
        <v>82937.83</v>
      </c>
      <c r="J4" s="130">
        <v>82937.83</v>
      </c>
      <c r="K4" s="130">
        <v>82937.83</v>
      </c>
      <c r="L4" s="130">
        <v>82937.83</v>
      </c>
      <c r="M4" s="130">
        <v>82937.83</v>
      </c>
      <c r="N4" s="130">
        <v>82937.83</v>
      </c>
      <c r="O4" s="105">
        <f>SUM(C4:N4)</f>
        <v>1012029.7999999998</v>
      </c>
    </row>
    <row r="5" spans="1:15" ht="20.25" hidden="1" customHeight="1">
      <c r="A5" s="47" t="s">
        <v>18</v>
      </c>
      <c r="C5" s="130">
        <v>511159.65</v>
      </c>
      <c r="D5" s="130">
        <v>511046.79</v>
      </c>
      <c r="E5" s="130">
        <v>512000</v>
      </c>
      <c r="F5" s="130">
        <v>510614.07</v>
      </c>
      <c r="G5" s="130">
        <v>513000</v>
      </c>
      <c r="H5" s="130">
        <v>513500</v>
      </c>
      <c r="I5" s="130">
        <v>514000</v>
      </c>
      <c r="J5" s="130">
        <v>514500</v>
      </c>
      <c r="K5" s="130">
        <v>515000</v>
      </c>
      <c r="L5" s="130">
        <v>515500</v>
      </c>
      <c r="M5" s="130">
        <v>516000</v>
      </c>
      <c r="N5" s="130">
        <v>516500</v>
      </c>
      <c r="O5" s="105">
        <f t="shared" ref="O5:O21" si="0">SUM(C5:N5)</f>
        <v>6162820.5099999998</v>
      </c>
    </row>
    <row r="6" spans="1:15" ht="20.25" hidden="1" customHeight="1">
      <c r="A6" s="47" t="s">
        <v>19</v>
      </c>
      <c r="B6" s="47"/>
      <c r="C6" s="130">
        <v>471406.89</v>
      </c>
      <c r="D6" s="130">
        <v>478307.29</v>
      </c>
      <c r="E6" s="130">
        <v>475040.51</v>
      </c>
      <c r="F6" s="130">
        <v>496775</v>
      </c>
      <c r="G6" s="130">
        <v>496775</v>
      </c>
      <c r="H6" s="130">
        <v>496775</v>
      </c>
      <c r="I6" s="130">
        <v>496775</v>
      </c>
      <c r="J6" s="130">
        <v>556539.44999999995</v>
      </c>
      <c r="K6" s="130">
        <v>556539.44999999995</v>
      </c>
      <c r="L6" s="130">
        <v>556539.44999999995</v>
      </c>
      <c r="M6" s="130">
        <v>556539.44999999995</v>
      </c>
      <c r="N6" s="130">
        <v>556539.44999999995</v>
      </c>
      <c r="O6" s="105">
        <f t="shared" si="0"/>
        <v>6194551.9400000004</v>
      </c>
    </row>
    <row r="7" spans="1:15" ht="20.25" hidden="1" customHeight="1">
      <c r="A7" s="47" t="s">
        <v>20</v>
      </c>
      <c r="B7" s="47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05">
        <f t="shared" si="0"/>
        <v>0</v>
      </c>
    </row>
    <row r="8" spans="1:15" ht="20.25" hidden="1" customHeight="1">
      <c r="A8" s="47" t="s">
        <v>21</v>
      </c>
      <c r="B8" s="94" t="s">
        <v>969</v>
      </c>
      <c r="C8" s="130">
        <v>243057.89</v>
      </c>
      <c r="D8" s="130">
        <v>223514.19</v>
      </c>
      <c r="E8" s="130">
        <v>223514.19</v>
      </c>
      <c r="F8" s="130">
        <v>223514.19</v>
      </c>
      <c r="G8" s="130">
        <v>223514.19</v>
      </c>
      <c r="H8" s="130">
        <v>223514.19</v>
      </c>
      <c r="I8" s="130">
        <v>223514.19</v>
      </c>
      <c r="J8" s="130">
        <v>223514.19</v>
      </c>
      <c r="K8" s="130">
        <v>223514.19</v>
      </c>
      <c r="L8" s="130">
        <v>223514.19</v>
      </c>
      <c r="M8" s="130">
        <v>223514.19</v>
      </c>
      <c r="N8" s="130">
        <v>223514.19</v>
      </c>
      <c r="O8" s="105">
        <f t="shared" si="0"/>
        <v>2701713.9799999995</v>
      </c>
    </row>
    <row r="9" spans="1:15" ht="20.25" hidden="1" customHeight="1">
      <c r="A9" s="65" t="s">
        <v>970</v>
      </c>
      <c r="B9" s="92"/>
      <c r="C9" s="131"/>
      <c r="D9" s="131"/>
      <c r="E9" s="131"/>
      <c r="F9" s="131"/>
      <c r="G9" s="131"/>
      <c r="H9" s="130">
        <v>1500000</v>
      </c>
      <c r="I9" s="131"/>
      <c r="J9" s="131"/>
      <c r="K9" s="131"/>
      <c r="L9" s="131"/>
      <c r="M9" s="131"/>
      <c r="N9" s="130">
        <v>1400000</v>
      </c>
      <c r="O9" s="105">
        <f t="shared" si="0"/>
        <v>2900000</v>
      </c>
    </row>
    <row r="10" spans="1:15" ht="20.25" hidden="1" customHeight="1">
      <c r="A10" s="47" t="s">
        <v>23</v>
      </c>
      <c r="C10" s="130">
        <v>317652.89</v>
      </c>
      <c r="D10" s="130">
        <f t="shared" ref="D10:N10" si="1">((D4+D5+D11+D14+D15+D16+D17+D18+D19+D21)/12)</f>
        <v>336665.05475833337</v>
      </c>
      <c r="E10" s="130">
        <v>327077.09999999998</v>
      </c>
      <c r="F10" s="130">
        <f t="shared" si="1"/>
        <v>339245.42145166668</v>
      </c>
      <c r="G10" s="130">
        <f t="shared" si="1"/>
        <v>339475.8625241667</v>
      </c>
      <c r="H10" s="130">
        <f t="shared" si="1"/>
        <v>339524.15419083339</v>
      </c>
      <c r="I10" s="130">
        <f t="shared" si="1"/>
        <v>339572.44585750002</v>
      </c>
      <c r="J10" s="130">
        <f t="shared" si="1"/>
        <v>351410.09228500002</v>
      </c>
      <c r="K10" s="130">
        <f t="shared" si="1"/>
        <v>351458.38395166671</v>
      </c>
      <c r="L10" s="130">
        <f t="shared" si="1"/>
        <v>351506.67561833333</v>
      </c>
      <c r="M10" s="130">
        <f t="shared" si="1"/>
        <v>351554.96728500002</v>
      </c>
      <c r="N10" s="130">
        <f t="shared" si="1"/>
        <v>351603.25895166671</v>
      </c>
      <c r="O10" s="105">
        <f t="shared" si="0"/>
        <v>4096746.3068741672</v>
      </c>
    </row>
    <row r="11" spans="1:15" ht="20.25" hidden="1" customHeight="1">
      <c r="A11" s="47" t="s">
        <v>971</v>
      </c>
      <c r="C11" s="130">
        <f t="shared" ref="C11:N11" si="2">(C4+C5+C14+C15+C16+C17+C18+C19+C21)*15.9%</f>
        <v>554414.24118000001</v>
      </c>
      <c r="D11" s="130">
        <f>(D4+D5+D14+D15+D16+D17+D18+D19+D21)*15.9%</f>
        <v>554233.75710000005</v>
      </c>
      <c r="E11" s="130">
        <f t="shared" si="2"/>
        <v>549822.46427999996</v>
      </c>
      <c r="F11" s="130">
        <f t="shared" si="2"/>
        <v>558481.67741999996</v>
      </c>
      <c r="G11" s="130">
        <f t="shared" si="2"/>
        <v>558861.04028999992</v>
      </c>
      <c r="H11" s="130">
        <f t="shared" si="2"/>
        <v>558940.54028999992</v>
      </c>
      <c r="I11" s="130">
        <f t="shared" si="2"/>
        <v>559020.04028999992</v>
      </c>
      <c r="J11" s="130">
        <f t="shared" si="2"/>
        <v>578507.72742000001</v>
      </c>
      <c r="K11" s="130">
        <f t="shared" si="2"/>
        <v>578587.22742000001</v>
      </c>
      <c r="L11" s="130">
        <f t="shared" si="2"/>
        <v>578666.72742000001</v>
      </c>
      <c r="M11" s="130">
        <f t="shared" si="2"/>
        <v>578746.22742000001</v>
      </c>
      <c r="N11" s="130">
        <f t="shared" si="2"/>
        <v>578825.72742000001</v>
      </c>
      <c r="O11" s="105">
        <f t="shared" si="0"/>
        <v>6787107.3979500011</v>
      </c>
    </row>
    <row r="12" spans="1:15" ht="20.25" hidden="1" customHeight="1">
      <c r="A12" s="47" t="s">
        <v>972</v>
      </c>
      <c r="B12" s="47"/>
      <c r="C12" s="130">
        <v>14432.13</v>
      </c>
      <c r="D12" s="130">
        <v>13118.6</v>
      </c>
      <c r="E12" s="130">
        <v>14310</v>
      </c>
      <c r="F12" s="130">
        <v>14310</v>
      </c>
      <c r="G12" s="130">
        <v>14310</v>
      </c>
      <c r="H12" s="130">
        <v>14310</v>
      </c>
      <c r="I12" s="130">
        <v>14310</v>
      </c>
      <c r="J12" s="130">
        <v>14310</v>
      </c>
      <c r="K12" s="130">
        <v>14310</v>
      </c>
      <c r="L12" s="130">
        <v>14310</v>
      </c>
      <c r="M12" s="130">
        <v>14310</v>
      </c>
      <c r="N12" s="130">
        <v>14310</v>
      </c>
      <c r="O12" s="105">
        <f t="shared" si="0"/>
        <v>170650.72999999998</v>
      </c>
    </row>
    <row r="13" spans="1:15" ht="20.25" hidden="1" customHeight="1">
      <c r="A13" s="47" t="s">
        <v>760</v>
      </c>
      <c r="C13" s="130">
        <f>C10*33.33%</f>
        <v>105873.708237</v>
      </c>
      <c r="D13" s="130">
        <f t="shared" ref="D13:N13" si="3">D10*33.33%</f>
        <v>112210.4627509525</v>
      </c>
      <c r="E13" s="130">
        <f t="shared" si="3"/>
        <v>109014.79742999999</v>
      </c>
      <c r="F13" s="130">
        <f t="shared" si="3"/>
        <v>113070.4989698405</v>
      </c>
      <c r="G13" s="130">
        <f t="shared" si="3"/>
        <v>113147.30497930475</v>
      </c>
      <c r="H13" s="130">
        <f t="shared" si="3"/>
        <v>113163.40059180476</v>
      </c>
      <c r="I13" s="130">
        <f t="shared" si="3"/>
        <v>113179.49620430476</v>
      </c>
      <c r="J13" s="130">
        <f t="shared" si="3"/>
        <v>117124.9837585905</v>
      </c>
      <c r="K13" s="130">
        <f t="shared" si="3"/>
        <v>117141.07937109051</v>
      </c>
      <c r="L13" s="130">
        <f t="shared" si="3"/>
        <v>117157.17498359049</v>
      </c>
      <c r="M13" s="130">
        <f t="shared" si="3"/>
        <v>117173.2705960905</v>
      </c>
      <c r="N13" s="130">
        <f t="shared" si="3"/>
        <v>117189.36620859051</v>
      </c>
      <c r="O13" s="105">
        <f t="shared" si="0"/>
        <v>1365445.5440811599</v>
      </c>
    </row>
    <row r="14" spans="1:15" ht="20.25" hidden="1" customHeight="1">
      <c r="A14" s="47" t="s">
        <v>27</v>
      </c>
      <c r="C14" s="130">
        <v>303077.37</v>
      </c>
      <c r="D14" s="130">
        <v>297949.17</v>
      </c>
      <c r="E14" s="130">
        <v>298074.46999999997</v>
      </c>
      <c r="F14" s="130">
        <v>303077.37</v>
      </c>
      <c r="G14" s="130">
        <v>303077.37</v>
      </c>
      <c r="H14" s="130">
        <v>303077.37</v>
      </c>
      <c r="I14" s="130">
        <v>303077.37</v>
      </c>
      <c r="J14" s="130">
        <v>303077.37</v>
      </c>
      <c r="K14" s="130">
        <v>303077.37</v>
      </c>
      <c r="L14" s="130">
        <v>303077.37</v>
      </c>
      <c r="M14" s="130">
        <v>303077.37</v>
      </c>
      <c r="N14" s="130">
        <v>303077.37</v>
      </c>
      <c r="O14" s="105">
        <f t="shared" si="0"/>
        <v>3626797.3400000008</v>
      </c>
    </row>
    <row r="15" spans="1:15" ht="20.25" hidden="1" customHeight="1">
      <c r="A15" s="47" t="s">
        <v>28</v>
      </c>
      <c r="C15" s="130">
        <v>65116.58</v>
      </c>
      <c r="D15" s="130">
        <v>65116.58</v>
      </c>
      <c r="E15" s="130">
        <v>65116.58</v>
      </c>
      <c r="F15" s="130">
        <v>65116.58</v>
      </c>
      <c r="G15" s="130">
        <v>65116.58</v>
      </c>
      <c r="H15" s="130">
        <v>65116.58</v>
      </c>
      <c r="I15" s="130">
        <v>65116.58</v>
      </c>
      <c r="J15" s="130">
        <v>65116.58</v>
      </c>
      <c r="K15" s="130">
        <v>65116.58</v>
      </c>
      <c r="L15" s="130">
        <v>65116.58</v>
      </c>
      <c r="M15" s="130">
        <v>65116.58</v>
      </c>
      <c r="N15" s="130">
        <v>65116.58</v>
      </c>
      <c r="O15" s="105">
        <f t="shared" si="0"/>
        <v>781398.96</v>
      </c>
    </row>
    <row r="16" spans="1:15" ht="20.25" hidden="1" customHeight="1">
      <c r="A16" s="47" t="s">
        <v>29</v>
      </c>
      <c r="C16" s="130">
        <v>40296.75</v>
      </c>
      <c r="D16" s="130">
        <v>41531.56</v>
      </c>
      <c r="E16" s="130">
        <v>51511.35</v>
      </c>
      <c r="F16" s="130">
        <v>49107.040000000001</v>
      </c>
      <c r="G16" s="130">
        <v>49107.040000000001</v>
      </c>
      <c r="H16" s="130">
        <v>49107.040000000001</v>
      </c>
      <c r="I16" s="130">
        <v>49107.040000000001</v>
      </c>
      <c r="J16" s="130">
        <v>49107.040000000001</v>
      </c>
      <c r="K16" s="130">
        <v>49107.040000000001</v>
      </c>
      <c r="L16" s="130">
        <v>49107.040000000001</v>
      </c>
      <c r="M16" s="130">
        <v>49107.040000000001</v>
      </c>
      <c r="N16" s="130">
        <v>49107.040000000001</v>
      </c>
      <c r="O16" s="105">
        <f t="shared" si="0"/>
        <v>575303.02</v>
      </c>
    </row>
    <row r="17" spans="1:16" ht="20.25" hidden="1" customHeight="1">
      <c r="A17" s="65" t="s">
        <v>973</v>
      </c>
      <c r="B17" s="47"/>
      <c r="C17" s="130">
        <v>0</v>
      </c>
      <c r="D17" s="130">
        <v>0</v>
      </c>
      <c r="E17" s="130">
        <v>6878.09</v>
      </c>
      <c r="F17" s="130">
        <v>64828.86</v>
      </c>
      <c r="G17" s="130">
        <v>64828.86</v>
      </c>
      <c r="H17" s="130">
        <v>64828.86</v>
      </c>
      <c r="I17" s="130">
        <v>64828.86</v>
      </c>
      <c r="J17" s="130">
        <v>186892.93</v>
      </c>
      <c r="K17" s="130">
        <v>186892.93</v>
      </c>
      <c r="L17" s="130">
        <v>186892.93</v>
      </c>
      <c r="M17" s="130">
        <v>186892.93</v>
      </c>
      <c r="N17" s="130">
        <v>186892.93</v>
      </c>
      <c r="O17" s="105">
        <f t="shared" si="0"/>
        <v>1200658.1799999997</v>
      </c>
    </row>
    <row r="18" spans="1:16" ht="20.25" hidden="1" customHeight="1">
      <c r="A18" s="47" t="s">
        <v>974</v>
      </c>
      <c r="C18" s="130">
        <v>41169.31</v>
      </c>
      <c r="D18" s="130">
        <v>87564.74</v>
      </c>
      <c r="E18" s="130">
        <v>74804.06</v>
      </c>
      <c r="F18" s="130">
        <v>67846.039999999994</v>
      </c>
      <c r="G18" s="130">
        <v>67846.039999999994</v>
      </c>
      <c r="H18" s="130">
        <v>67846.039999999994</v>
      </c>
      <c r="I18" s="130">
        <v>67846.039999999994</v>
      </c>
      <c r="J18" s="130">
        <v>67846.039999999994</v>
      </c>
      <c r="K18" s="130">
        <v>67846.039999999994</v>
      </c>
      <c r="L18" s="130">
        <v>67846.039999999994</v>
      </c>
      <c r="M18" s="130">
        <v>67846.039999999994</v>
      </c>
      <c r="N18" s="130">
        <v>67846.039999999994</v>
      </c>
      <c r="O18" s="105">
        <f t="shared" si="0"/>
        <v>814152.47000000009</v>
      </c>
    </row>
    <row r="19" spans="1:16" ht="20.25" hidden="1" customHeight="1">
      <c r="A19" s="47" t="s">
        <v>33</v>
      </c>
      <c r="C19" s="130">
        <v>16551.900000000001</v>
      </c>
      <c r="D19" s="130">
        <v>16551.900000000001</v>
      </c>
      <c r="E19" s="130">
        <v>16551.900000000001</v>
      </c>
      <c r="F19" s="130">
        <v>16551.900000000001</v>
      </c>
      <c r="G19" s="130">
        <v>16551.900000000001</v>
      </c>
      <c r="H19" s="130">
        <v>16551.900000000001</v>
      </c>
      <c r="I19" s="130">
        <v>16551.900000000001</v>
      </c>
      <c r="J19" s="130">
        <v>16551.900000000001</v>
      </c>
      <c r="K19" s="130">
        <v>16551.900000000001</v>
      </c>
      <c r="L19" s="130">
        <v>16551.900000000001</v>
      </c>
      <c r="M19" s="130">
        <v>16551.900000000001</v>
      </c>
      <c r="N19" s="130">
        <v>16551.900000000001</v>
      </c>
      <c r="O19" s="105">
        <f t="shared" si="0"/>
        <v>198622.79999999996</v>
      </c>
    </row>
    <row r="20" spans="1:16" ht="20.25" hidden="1" customHeight="1">
      <c r="A20" s="47" t="s">
        <v>409</v>
      </c>
      <c r="C20" s="130"/>
      <c r="D20" s="130"/>
      <c r="E20" s="130">
        <v>81003.37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05">
        <f t="shared" si="0"/>
        <v>81003.37</v>
      </c>
    </row>
    <row r="21" spans="1:16" ht="20.25" hidden="1" customHeight="1">
      <c r="A21" s="47" t="s">
        <v>34</v>
      </c>
      <c r="C21" s="130">
        <v>2387891.9500000002</v>
      </c>
      <c r="D21" s="130">
        <v>2381479.12</v>
      </c>
      <c r="E21" s="130">
        <v>2373602.69</v>
      </c>
      <c r="F21" s="130">
        <v>2352383.69</v>
      </c>
      <c r="G21" s="130">
        <v>2352383.69</v>
      </c>
      <c r="H21" s="130">
        <v>2352383.69</v>
      </c>
      <c r="I21" s="130">
        <v>2352383.69</v>
      </c>
      <c r="J21" s="130">
        <v>2352383.69</v>
      </c>
      <c r="K21" s="130">
        <v>2352383.69</v>
      </c>
      <c r="L21" s="130">
        <v>2352383.69</v>
      </c>
      <c r="M21" s="130">
        <v>2352383.69</v>
      </c>
      <c r="N21" s="130">
        <v>2352383.69</v>
      </c>
      <c r="O21" s="105">
        <f t="shared" si="0"/>
        <v>28314426.970000003</v>
      </c>
    </row>
    <row r="22" spans="1:16" ht="20.25" hidden="1" customHeight="1">
      <c r="A22" s="64" t="s">
        <v>35</v>
      </c>
      <c r="B22" s="7"/>
      <c r="C22" s="8">
        <f t="shared" ref="C22:O22" si="4">SUM(C4:C21)</f>
        <v>5193719.769417</v>
      </c>
      <c r="D22" s="8">
        <f t="shared" si="4"/>
        <v>5203796.2546092868</v>
      </c>
      <c r="E22" s="8">
        <f t="shared" si="4"/>
        <v>5237785.3517100001</v>
      </c>
      <c r="F22" s="8">
        <f t="shared" si="4"/>
        <v>5257860.1678415071</v>
      </c>
      <c r="G22" s="8">
        <f t="shared" si="4"/>
        <v>5260932.7077934714</v>
      </c>
      <c r="H22" s="8">
        <f t="shared" si="4"/>
        <v>6761576.5950726382</v>
      </c>
      <c r="I22" s="8">
        <f t="shared" si="4"/>
        <v>5262220.4823518051</v>
      </c>
      <c r="J22" s="8">
        <f t="shared" si="4"/>
        <v>5479819.8234635908</v>
      </c>
      <c r="K22" s="8">
        <f t="shared" si="4"/>
        <v>5480463.7107427567</v>
      </c>
      <c r="L22" s="8">
        <f t="shared" si="4"/>
        <v>5481107.5980219236</v>
      </c>
      <c r="M22" s="8">
        <f t="shared" si="4"/>
        <v>5481751.4853010904</v>
      </c>
      <c r="N22" s="8">
        <f t="shared" si="4"/>
        <v>6882395.3725802563</v>
      </c>
      <c r="O22" s="8">
        <f t="shared" si="4"/>
        <v>66983429.318905324</v>
      </c>
      <c r="P22" s="14"/>
    </row>
    <row r="23" spans="1:16" ht="28.5" hidden="1" customHeight="1">
      <c r="A23" s="63" t="s">
        <v>36</v>
      </c>
      <c r="B23" s="46"/>
      <c r="C23" s="78" t="str">
        <f t="shared" ref="C23:O23" si="5">C3</f>
        <v>Janeiro</v>
      </c>
      <c r="D23" s="78" t="str">
        <f t="shared" si="5"/>
        <v>Fevereiro</v>
      </c>
      <c r="E23" s="78" t="str">
        <f t="shared" si="5"/>
        <v xml:space="preserve">Março </v>
      </c>
      <c r="F23" s="78" t="str">
        <f t="shared" si="5"/>
        <v>Abril</v>
      </c>
      <c r="G23" s="78" t="str">
        <f t="shared" si="5"/>
        <v>Maio</v>
      </c>
      <c r="H23" s="78" t="str">
        <f t="shared" si="5"/>
        <v>Junho</v>
      </c>
      <c r="I23" s="78" t="str">
        <f t="shared" si="5"/>
        <v>Julho</v>
      </c>
      <c r="J23" s="78" t="str">
        <f t="shared" si="5"/>
        <v>Agosto</v>
      </c>
      <c r="K23" s="78" t="str">
        <f t="shared" si="5"/>
        <v>Setembro</v>
      </c>
      <c r="L23" s="78" t="str">
        <f t="shared" si="5"/>
        <v>Outubro</v>
      </c>
      <c r="M23" s="78" t="str">
        <f t="shared" si="5"/>
        <v>Novembro</v>
      </c>
      <c r="N23" s="78" t="str">
        <f t="shared" si="5"/>
        <v>Dezembro</v>
      </c>
      <c r="O23" s="40" t="str">
        <f t="shared" si="5"/>
        <v xml:space="preserve">TOTAL </v>
      </c>
    </row>
    <row r="24" spans="1:16" ht="20.25" hidden="1" customHeight="1">
      <c r="A24" s="65" t="s">
        <v>38</v>
      </c>
      <c r="B24" s="48"/>
      <c r="C24" s="130">
        <v>0</v>
      </c>
      <c r="D24" s="130">
        <v>1100</v>
      </c>
      <c r="E24" s="130">
        <v>10065</v>
      </c>
      <c r="F24" s="130">
        <v>2610</v>
      </c>
      <c r="G24" s="130">
        <v>2610</v>
      </c>
      <c r="H24" s="130">
        <v>2610</v>
      </c>
      <c r="I24" s="130">
        <v>2610</v>
      </c>
      <c r="J24" s="130">
        <v>2610</v>
      </c>
      <c r="K24" s="130">
        <v>2610</v>
      </c>
      <c r="L24" s="130">
        <v>2610</v>
      </c>
      <c r="M24" s="130">
        <v>2610</v>
      </c>
      <c r="N24" s="130">
        <v>2610</v>
      </c>
      <c r="O24" s="105">
        <f t="shared" ref="O24:O40" si="6">SUM(C24:N24)</f>
        <v>34655</v>
      </c>
    </row>
    <row r="25" spans="1:16" ht="20.25" hidden="1" customHeight="1">
      <c r="A25" s="65" t="s">
        <v>39</v>
      </c>
      <c r="B25" s="48"/>
      <c r="C25" s="130">
        <v>1375</v>
      </c>
      <c r="D25" s="130">
        <v>220</v>
      </c>
      <c r="E25" s="130">
        <v>3025</v>
      </c>
      <c r="F25" s="130">
        <v>4000</v>
      </c>
      <c r="G25" s="130">
        <v>4000</v>
      </c>
      <c r="H25" s="130">
        <v>4000</v>
      </c>
      <c r="I25" s="130">
        <v>4000</v>
      </c>
      <c r="J25" s="130">
        <v>4000</v>
      </c>
      <c r="K25" s="130">
        <v>4000</v>
      </c>
      <c r="L25" s="130">
        <v>4000</v>
      </c>
      <c r="M25" s="130">
        <v>4000</v>
      </c>
      <c r="N25" s="130">
        <v>4000</v>
      </c>
      <c r="O25" s="105">
        <f t="shared" si="6"/>
        <v>40620</v>
      </c>
    </row>
    <row r="26" spans="1:16" ht="20.25" hidden="1" customHeight="1">
      <c r="A26" s="65" t="s">
        <v>40</v>
      </c>
      <c r="B26" s="48"/>
      <c r="C26" s="130">
        <v>0</v>
      </c>
      <c r="D26" s="130">
        <v>0</v>
      </c>
      <c r="E26" s="130">
        <v>3520</v>
      </c>
      <c r="F26" s="130">
        <v>3000</v>
      </c>
      <c r="G26" s="130">
        <v>3000</v>
      </c>
      <c r="H26" s="130">
        <v>3000</v>
      </c>
      <c r="I26" s="130">
        <v>3000</v>
      </c>
      <c r="J26" s="130">
        <v>3000</v>
      </c>
      <c r="K26" s="130">
        <v>3000</v>
      </c>
      <c r="L26" s="130">
        <v>3000</v>
      </c>
      <c r="M26" s="130">
        <v>3000</v>
      </c>
      <c r="N26" s="130">
        <v>3000</v>
      </c>
      <c r="O26" s="105">
        <f t="shared" si="6"/>
        <v>30520</v>
      </c>
    </row>
    <row r="27" spans="1:16" ht="20.25" hidden="1" customHeight="1">
      <c r="A27" s="65" t="s">
        <v>41</v>
      </c>
      <c r="B27" s="48"/>
      <c r="C27" s="130">
        <v>0</v>
      </c>
      <c r="D27" s="130">
        <v>0</v>
      </c>
      <c r="E27" s="130">
        <v>1240</v>
      </c>
      <c r="F27" s="130">
        <v>4800</v>
      </c>
      <c r="G27" s="130">
        <v>4800</v>
      </c>
      <c r="H27" s="130">
        <v>4800</v>
      </c>
      <c r="I27" s="130">
        <v>4800</v>
      </c>
      <c r="J27" s="130">
        <v>4800</v>
      </c>
      <c r="K27" s="130">
        <v>4800</v>
      </c>
      <c r="L27" s="130">
        <v>4800</v>
      </c>
      <c r="M27" s="130">
        <v>4800</v>
      </c>
      <c r="N27" s="130">
        <v>4800</v>
      </c>
      <c r="O27" s="105">
        <f t="shared" si="6"/>
        <v>44440</v>
      </c>
    </row>
    <row r="28" spans="1:16" ht="20.25" hidden="1" customHeight="1">
      <c r="A28" s="65" t="s">
        <v>975</v>
      </c>
      <c r="B28" s="48"/>
      <c r="C28" s="130">
        <v>0</v>
      </c>
      <c r="D28" s="130">
        <v>0</v>
      </c>
      <c r="E28" s="130">
        <v>18223.03</v>
      </c>
      <c r="F28" s="130">
        <v>4400</v>
      </c>
      <c r="G28" s="130">
        <v>4400</v>
      </c>
      <c r="H28" s="130">
        <v>4400</v>
      </c>
      <c r="I28" s="130">
        <v>4400</v>
      </c>
      <c r="J28" s="130">
        <v>4400</v>
      </c>
      <c r="K28" s="130">
        <v>4400</v>
      </c>
      <c r="L28" s="130">
        <v>4400</v>
      </c>
      <c r="M28" s="130">
        <v>4400</v>
      </c>
      <c r="N28" s="130">
        <v>4400</v>
      </c>
      <c r="O28" s="105">
        <f t="shared" si="6"/>
        <v>57823.03</v>
      </c>
    </row>
    <row r="29" spans="1:16" ht="20.25" hidden="1" customHeight="1">
      <c r="A29" s="65" t="s">
        <v>976</v>
      </c>
      <c r="B29" s="95" t="s">
        <v>977</v>
      </c>
      <c r="C29" s="132"/>
      <c r="D29" s="132">
        <v>0</v>
      </c>
      <c r="E29" s="130"/>
      <c r="F29" s="130">
        <v>8000</v>
      </c>
      <c r="G29" s="130">
        <v>0</v>
      </c>
      <c r="H29" s="130">
        <v>0</v>
      </c>
      <c r="I29" s="130">
        <v>0</v>
      </c>
      <c r="J29" s="130"/>
      <c r="K29" s="130"/>
      <c r="L29" s="130"/>
      <c r="M29" s="130"/>
      <c r="N29" s="130"/>
      <c r="O29" s="105">
        <f t="shared" si="6"/>
        <v>8000</v>
      </c>
    </row>
    <row r="30" spans="1:16" ht="20.25" hidden="1" customHeight="1">
      <c r="A30" s="65" t="s">
        <v>978</v>
      </c>
      <c r="B30" s="95" t="s">
        <v>977</v>
      </c>
      <c r="C30" s="132"/>
      <c r="D30" s="132"/>
      <c r="E30" s="130"/>
      <c r="F30" s="130">
        <v>10000</v>
      </c>
      <c r="G30" s="130">
        <v>10000</v>
      </c>
      <c r="H30" s="130">
        <v>10000</v>
      </c>
      <c r="I30" s="130">
        <v>10000</v>
      </c>
      <c r="J30" s="130"/>
      <c r="K30" s="130"/>
      <c r="L30" s="130"/>
      <c r="M30" s="130"/>
      <c r="N30" s="130"/>
      <c r="O30" s="105">
        <f t="shared" si="6"/>
        <v>40000</v>
      </c>
    </row>
    <row r="31" spans="1:16" ht="20.25" hidden="1" customHeight="1">
      <c r="A31" s="65" t="s">
        <v>979</v>
      </c>
      <c r="B31" s="95" t="s">
        <v>980</v>
      </c>
      <c r="C31" s="132"/>
      <c r="D31" s="132">
        <v>0</v>
      </c>
      <c r="E31" s="130"/>
      <c r="F31" s="130"/>
      <c r="G31" s="130">
        <v>7000</v>
      </c>
      <c r="H31" s="130"/>
      <c r="I31" s="130"/>
      <c r="J31" s="130"/>
      <c r="K31" s="130"/>
      <c r="L31" s="130"/>
      <c r="M31" s="130"/>
      <c r="N31" s="130"/>
      <c r="O31" s="105">
        <f t="shared" si="6"/>
        <v>7000</v>
      </c>
    </row>
    <row r="32" spans="1:16" ht="20.25" hidden="1" customHeight="1">
      <c r="A32" s="65" t="s">
        <v>981</v>
      </c>
      <c r="B32" s="95" t="s">
        <v>980</v>
      </c>
      <c r="C32" s="132"/>
      <c r="D32" s="132">
        <v>0</v>
      </c>
      <c r="E32" s="130"/>
      <c r="F32" s="130">
        <v>2500</v>
      </c>
      <c r="G32" s="130"/>
      <c r="H32" s="130"/>
      <c r="I32" s="130">
        <v>2500</v>
      </c>
      <c r="J32" s="130"/>
      <c r="K32" s="130"/>
      <c r="L32" s="130"/>
      <c r="M32" s="130"/>
      <c r="N32" s="130"/>
      <c r="O32" s="105">
        <f t="shared" si="6"/>
        <v>5000</v>
      </c>
    </row>
    <row r="33" spans="1:16" ht="20.25" hidden="1" customHeight="1">
      <c r="A33" s="65" t="s">
        <v>982</v>
      </c>
      <c r="B33" s="95" t="s">
        <v>980</v>
      </c>
      <c r="C33" s="132"/>
      <c r="D33" s="132"/>
      <c r="E33" s="130"/>
      <c r="F33" s="130"/>
      <c r="G33" s="130"/>
      <c r="H33" s="130"/>
      <c r="I33" s="130">
        <v>6000</v>
      </c>
      <c r="J33" s="130"/>
      <c r="K33" s="130"/>
      <c r="L33" s="130"/>
      <c r="M33" s="130"/>
      <c r="N33" s="130"/>
      <c r="O33" s="105">
        <f t="shared" si="6"/>
        <v>6000</v>
      </c>
    </row>
    <row r="34" spans="1:16" ht="20.25" hidden="1" customHeight="1">
      <c r="A34" s="65" t="s">
        <v>983</v>
      </c>
      <c r="B34" s="95" t="s">
        <v>980</v>
      </c>
      <c r="C34" s="132"/>
      <c r="D34" s="132"/>
      <c r="E34" s="130"/>
      <c r="F34" s="130">
        <v>7500</v>
      </c>
      <c r="G34" s="130"/>
      <c r="H34" s="130"/>
      <c r="I34" s="130"/>
      <c r="J34" s="130"/>
      <c r="K34" s="130"/>
      <c r="L34" s="130"/>
      <c r="M34" s="130"/>
      <c r="N34" s="130"/>
      <c r="O34" s="105">
        <f t="shared" si="6"/>
        <v>7500</v>
      </c>
    </row>
    <row r="35" spans="1:16" ht="20.25" hidden="1" customHeight="1">
      <c r="A35" s="65" t="s">
        <v>984</v>
      </c>
      <c r="B35" s="95" t="s">
        <v>980</v>
      </c>
      <c r="C35" s="132"/>
      <c r="D35" s="132"/>
      <c r="E35" s="130"/>
      <c r="F35" s="130"/>
      <c r="G35" s="130">
        <v>6000</v>
      </c>
      <c r="H35" s="130"/>
      <c r="I35" s="130"/>
      <c r="J35" s="130"/>
      <c r="K35" s="130"/>
      <c r="L35" s="130"/>
      <c r="M35" s="130">
        <v>6000</v>
      </c>
      <c r="N35" s="130"/>
      <c r="O35" s="105">
        <f t="shared" si="6"/>
        <v>12000</v>
      </c>
    </row>
    <row r="36" spans="1:16" ht="20.25" hidden="1" customHeight="1">
      <c r="A36" s="65" t="s">
        <v>985</v>
      </c>
      <c r="B36" s="95" t="s">
        <v>980</v>
      </c>
      <c r="C36" s="132"/>
      <c r="D36" s="132"/>
      <c r="E36" s="130"/>
      <c r="F36" s="130">
        <v>3500</v>
      </c>
      <c r="G36" s="130"/>
      <c r="H36" s="130"/>
      <c r="I36" s="130"/>
      <c r="J36" s="130">
        <v>2500</v>
      </c>
      <c r="K36" s="130"/>
      <c r="L36" s="130"/>
      <c r="M36" s="130"/>
      <c r="N36" s="130"/>
      <c r="O36" s="105">
        <f t="shared" si="6"/>
        <v>6000</v>
      </c>
    </row>
    <row r="37" spans="1:16" ht="20.25" hidden="1" customHeight="1">
      <c r="A37" s="65" t="s">
        <v>986</v>
      </c>
      <c r="B37" s="95" t="s">
        <v>987</v>
      </c>
      <c r="C37" s="132"/>
      <c r="D37" s="132"/>
      <c r="E37" s="130"/>
      <c r="F37" s="130">
        <v>10000</v>
      </c>
      <c r="G37" s="130">
        <v>10000</v>
      </c>
      <c r="H37" s="130"/>
      <c r="I37" s="130"/>
      <c r="J37" s="130"/>
      <c r="K37" s="130"/>
      <c r="L37" s="130"/>
      <c r="M37" s="130"/>
      <c r="N37" s="130"/>
      <c r="O37" s="105">
        <f t="shared" si="6"/>
        <v>20000</v>
      </c>
    </row>
    <row r="38" spans="1:16" ht="20.25" hidden="1" customHeight="1">
      <c r="A38" s="65" t="s">
        <v>988</v>
      </c>
      <c r="B38" s="91"/>
      <c r="C38" s="132"/>
      <c r="D38" s="132"/>
      <c r="E38" s="130"/>
      <c r="F38" s="130">
        <v>10000</v>
      </c>
      <c r="G38" s="130">
        <v>10000</v>
      </c>
      <c r="H38" s="130">
        <v>10000</v>
      </c>
      <c r="I38" s="130">
        <v>10000</v>
      </c>
      <c r="J38" s="130">
        <v>10000</v>
      </c>
      <c r="K38" s="130">
        <v>10000</v>
      </c>
      <c r="L38" s="130">
        <v>10000</v>
      </c>
      <c r="M38" s="130">
        <v>10000</v>
      </c>
      <c r="N38" s="130">
        <v>10000</v>
      </c>
      <c r="O38" s="105">
        <f t="shared" si="6"/>
        <v>90000</v>
      </c>
    </row>
    <row r="39" spans="1:16" ht="20.25" hidden="1" customHeight="1">
      <c r="A39" s="65" t="s">
        <v>43</v>
      </c>
      <c r="B39" s="48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05">
        <f t="shared" si="6"/>
        <v>0</v>
      </c>
    </row>
    <row r="40" spans="1:16" ht="20.25" hidden="1" customHeight="1">
      <c r="A40" s="65" t="s">
        <v>44</v>
      </c>
      <c r="B40" s="48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05">
        <f t="shared" si="6"/>
        <v>0</v>
      </c>
    </row>
    <row r="41" spans="1:16" ht="20.25" hidden="1" customHeight="1">
      <c r="A41" s="64" t="s">
        <v>45</v>
      </c>
      <c r="B41" s="7"/>
      <c r="C41" s="106">
        <f t="shared" ref="C41:O41" si="7">SUM(C24:C40)</f>
        <v>1375</v>
      </c>
      <c r="D41" s="106">
        <f t="shared" si="7"/>
        <v>1320</v>
      </c>
      <c r="E41" s="106">
        <f t="shared" si="7"/>
        <v>36073.03</v>
      </c>
      <c r="F41" s="106">
        <f t="shared" si="7"/>
        <v>70310</v>
      </c>
      <c r="G41" s="106">
        <f t="shared" si="7"/>
        <v>61810</v>
      </c>
      <c r="H41" s="106">
        <f t="shared" si="7"/>
        <v>38810</v>
      </c>
      <c r="I41" s="106">
        <f t="shared" si="7"/>
        <v>47310</v>
      </c>
      <c r="J41" s="106">
        <f t="shared" si="7"/>
        <v>31310</v>
      </c>
      <c r="K41" s="106">
        <f t="shared" si="7"/>
        <v>28810</v>
      </c>
      <c r="L41" s="106">
        <f t="shared" si="7"/>
        <v>28810</v>
      </c>
      <c r="M41" s="106">
        <f t="shared" si="7"/>
        <v>34810</v>
      </c>
      <c r="N41" s="106">
        <f t="shared" si="7"/>
        <v>28810</v>
      </c>
      <c r="O41" s="106">
        <f t="shared" si="7"/>
        <v>409558.03</v>
      </c>
      <c r="P41" s="14"/>
    </row>
    <row r="42" spans="1:16" ht="26.65" hidden="1" customHeight="1">
      <c r="A42" s="63" t="s">
        <v>46</v>
      </c>
      <c r="B42" s="46"/>
      <c r="C42" s="78" t="str">
        <f t="shared" ref="C42:O42" si="8">C23</f>
        <v>Janeiro</v>
      </c>
      <c r="D42" s="78" t="str">
        <f t="shared" si="8"/>
        <v>Fevereiro</v>
      </c>
      <c r="E42" s="78" t="str">
        <f t="shared" si="8"/>
        <v xml:space="preserve">Março </v>
      </c>
      <c r="F42" s="78" t="str">
        <f t="shared" si="8"/>
        <v>Abril</v>
      </c>
      <c r="G42" s="78" t="str">
        <f t="shared" si="8"/>
        <v>Maio</v>
      </c>
      <c r="H42" s="78" t="str">
        <f t="shared" si="8"/>
        <v>Junho</v>
      </c>
      <c r="I42" s="78" t="str">
        <f t="shared" si="8"/>
        <v>Julho</v>
      </c>
      <c r="J42" s="78" t="str">
        <f t="shared" si="8"/>
        <v>Agosto</v>
      </c>
      <c r="K42" s="78" t="str">
        <f t="shared" si="8"/>
        <v>Setembro</v>
      </c>
      <c r="L42" s="78" t="str">
        <f t="shared" si="8"/>
        <v>Outubro</v>
      </c>
      <c r="M42" s="78" t="str">
        <f t="shared" si="8"/>
        <v>Novembro</v>
      </c>
      <c r="N42" s="78" t="str">
        <f t="shared" si="8"/>
        <v>Dezembro</v>
      </c>
      <c r="O42" s="40" t="str">
        <f t="shared" si="8"/>
        <v xml:space="preserve">TOTAL </v>
      </c>
    </row>
    <row r="43" spans="1:16" ht="20.25" hidden="1" customHeight="1">
      <c r="A43" s="47" t="s">
        <v>47</v>
      </c>
      <c r="B43" s="49"/>
      <c r="C43" s="130">
        <v>2819.72</v>
      </c>
      <c r="D43" s="130">
        <v>2819.72</v>
      </c>
      <c r="E43" s="130">
        <v>2917.08</v>
      </c>
      <c r="F43" s="130">
        <v>2819.72</v>
      </c>
      <c r="G43" s="130">
        <v>2819.72</v>
      </c>
      <c r="H43" s="130">
        <v>2819.72</v>
      </c>
      <c r="I43" s="130">
        <v>2819.72</v>
      </c>
      <c r="J43" s="130">
        <v>2819.72</v>
      </c>
      <c r="K43" s="130">
        <v>2819.72</v>
      </c>
      <c r="L43" s="130">
        <v>2819.72</v>
      </c>
      <c r="M43" s="130">
        <v>2819.72</v>
      </c>
      <c r="N43" s="130">
        <v>2819.72</v>
      </c>
      <c r="O43" s="105">
        <f t="shared" ref="O43:O49" si="9">SUM(C43:N43)</f>
        <v>33934.000000000007</v>
      </c>
    </row>
    <row r="44" spans="1:16" ht="20.25" hidden="1" customHeight="1">
      <c r="A44" s="47" t="s">
        <v>48</v>
      </c>
      <c r="B44" s="49"/>
      <c r="C44" s="130">
        <v>3085.82</v>
      </c>
      <c r="D44" s="130">
        <v>1818.24</v>
      </c>
      <c r="E44" s="130">
        <v>4020.92</v>
      </c>
      <c r="F44" s="130">
        <v>3500</v>
      </c>
      <c r="G44" s="130">
        <v>3500</v>
      </c>
      <c r="H44" s="130">
        <v>3500</v>
      </c>
      <c r="I44" s="130">
        <v>3500</v>
      </c>
      <c r="J44" s="130">
        <v>3500</v>
      </c>
      <c r="K44" s="130">
        <v>3500</v>
      </c>
      <c r="L44" s="130">
        <v>3500</v>
      </c>
      <c r="M44" s="130">
        <v>3500</v>
      </c>
      <c r="N44" s="130">
        <v>3500</v>
      </c>
      <c r="O44" s="105">
        <f t="shared" si="9"/>
        <v>40424.979999999996</v>
      </c>
    </row>
    <row r="45" spans="1:16" ht="20.25" hidden="1" customHeight="1">
      <c r="A45" s="47" t="s">
        <v>49</v>
      </c>
      <c r="B45" s="49"/>
      <c r="C45" s="130">
        <v>71503.960000000006</v>
      </c>
      <c r="D45" s="130">
        <v>63352.04</v>
      </c>
      <c r="E45" s="130">
        <v>72075.48</v>
      </c>
      <c r="F45" s="130">
        <v>80000</v>
      </c>
      <c r="G45" s="130">
        <v>80000</v>
      </c>
      <c r="H45" s="130">
        <v>80000</v>
      </c>
      <c r="I45" s="130">
        <v>80000</v>
      </c>
      <c r="J45" s="130">
        <v>80000</v>
      </c>
      <c r="K45" s="130">
        <v>80000</v>
      </c>
      <c r="L45" s="130">
        <v>80000</v>
      </c>
      <c r="M45" s="130">
        <v>80000</v>
      </c>
      <c r="N45" s="130">
        <v>80000</v>
      </c>
      <c r="O45" s="105">
        <f t="shared" si="9"/>
        <v>926931.48</v>
      </c>
    </row>
    <row r="46" spans="1:16" ht="20.25" hidden="1" customHeight="1">
      <c r="A46" s="47" t="s">
        <v>50</v>
      </c>
      <c r="B46" s="49"/>
      <c r="C46" s="130">
        <v>4797</v>
      </c>
      <c r="D46" s="130">
        <v>3601</v>
      </c>
      <c r="E46" s="130">
        <v>25285</v>
      </c>
      <c r="F46" s="130">
        <v>5500</v>
      </c>
      <c r="G46" s="130">
        <v>5500</v>
      </c>
      <c r="H46" s="130">
        <v>22000</v>
      </c>
      <c r="I46" s="130">
        <v>5500</v>
      </c>
      <c r="J46" s="130">
        <v>5500</v>
      </c>
      <c r="K46" s="130">
        <v>5500</v>
      </c>
      <c r="L46" s="130">
        <v>5500</v>
      </c>
      <c r="M46" s="130">
        <v>5500</v>
      </c>
      <c r="N46" s="130">
        <v>5500</v>
      </c>
      <c r="O46" s="105">
        <f t="shared" si="9"/>
        <v>99683</v>
      </c>
    </row>
    <row r="47" spans="1:16" ht="20.25" hidden="1" customHeight="1">
      <c r="A47" s="47" t="s">
        <v>51</v>
      </c>
      <c r="B47" s="94" t="s">
        <v>52</v>
      </c>
      <c r="C47" s="130">
        <v>4676.5</v>
      </c>
      <c r="D47" s="130">
        <v>4797.67</v>
      </c>
      <c r="E47" s="130">
        <v>4610.8999999999996</v>
      </c>
      <c r="F47" s="130">
        <v>6300</v>
      </c>
      <c r="G47" s="130">
        <v>6300</v>
      </c>
      <c r="H47" s="130">
        <v>6300</v>
      </c>
      <c r="I47" s="130">
        <v>6300</v>
      </c>
      <c r="J47" s="130">
        <v>6300</v>
      </c>
      <c r="K47" s="130">
        <v>6300</v>
      </c>
      <c r="L47" s="130">
        <v>6300</v>
      </c>
      <c r="M47" s="130">
        <v>6300</v>
      </c>
      <c r="N47" s="130">
        <v>6300</v>
      </c>
      <c r="O47" s="105">
        <f t="shared" si="9"/>
        <v>70785.070000000007</v>
      </c>
    </row>
    <row r="48" spans="1:16" ht="20.25" hidden="1" customHeight="1">
      <c r="A48" s="47" t="s">
        <v>53</v>
      </c>
      <c r="B48" s="93"/>
      <c r="C48" s="130">
        <v>4965.92</v>
      </c>
      <c r="D48" s="130">
        <v>314.16000000000003</v>
      </c>
      <c r="E48" s="130">
        <v>10372.82</v>
      </c>
      <c r="F48" s="130">
        <v>6800</v>
      </c>
      <c r="G48" s="130">
        <v>6800</v>
      </c>
      <c r="H48" s="130">
        <v>6800</v>
      </c>
      <c r="I48" s="130">
        <v>6800</v>
      </c>
      <c r="J48" s="130">
        <v>6800</v>
      </c>
      <c r="K48" s="130">
        <v>6800</v>
      </c>
      <c r="L48" s="130">
        <v>6800</v>
      </c>
      <c r="M48" s="130">
        <v>6800</v>
      </c>
      <c r="N48" s="130">
        <v>6800</v>
      </c>
      <c r="O48" s="105">
        <f t="shared" si="9"/>
        <v>76852.899999999994</v>
      </c>
    </row>
    <row r="49" spans="1:16" ht="20.25" hidden="1" customHeight="1">
      <c r="A49" s="47" t="s">
        <v>54</v>
      </c>
      <c r="B49" s="97"/>
      <c r="C49" s="130">
        <v>26958</v>
      </c>
      <c r="D49" s="130">
        <v>25578.83</v>
      </c>
      <c r="E49" s="130">
        <v>25575.08</v>
      </c>
      <c r="F49" s="130">
        <v>26000</v>
      </c>
      <c r="G49" s="130">
        <v>26000</v>
      </c>
      <c r="H49" s="130">
        <v>26000</v>
      </c>
      <c r="I49" s="130">
        <v>26000</v>
      </c>
      <c r="J49" s="130">
        <v>26000</v>
      </c>
      <c r="K49" s="130">
        <v>26000</v>
      </c>
      <c r="L49" s="130">
        <v>26000</v>
      </c>
      <c r="M49" s="130">
        <v>26000</v>
      </c>
      <c r="N49" s="130">
        <v>26000</v>
      </c>
      <c r="O49" s="105">
        <f t="shared" si="9"/>
        <v>312111.91000000003</v>
      </c>
    </row>
    <row r="50" spans="1:16" ht="20.25" hidden="1" customHeight="1">
      <c r="A50" s="64" t="s">
        <v>55</v>
      </c>
      <c r="B50" s="7"/>
      <c r="C50" s="106">
        <f t="shared" ref="C50:O50" si="10">SUM(C43:C49)</f>
        <v>118806.92</v>
      </c>
      <c r="D50" s="106">
        <f t="shared" si="10"/>
        <v>102281.66</v>
      </c>
      <c r="E50" s="106">
        <f t="shared" si="10"/>
        <v>144857.27999999997</v>
      </c>
      <c r="F50" s="106">
        <f t="shared" si="10"/>
        <v>130919.72</v>
      </c>
      <c r="G50" s="106">
        <f t="shared" si="10"/>
        <v>130919.72</v>
      </c>
      <c r="H50" s="106">
        <f t="shared" si="10"/>
        <v>147419.72</v>
      </c>
      <c r="I50" s="106">
        <f t="shared" si="10"/>
        <v>130919.72</v>
      </c>
      <c r="J50" s="106">
        <f t="shared" si="10"/>
        <v>130919.72</v>
      </c>
      <c r="K50" s="106">
        <f t="shared" si="10"/>
        <v>130919.72</v>
      </c>
      <c r="L50" s="106">
        <f t="shared" si="10"/>
        <v>130919.72</v>
      </c>
      <c r="M50" s="106">
        <f t="shared" si="10"/>
        <v>130919.72</v>
      </c>
      <c r="N50" s="106">
        <f t="shared" si="10"/>
        <v>130919.72</v>
      </c>
      <c r="O50" s="106">
        <f t="shared" si="10"/>
        <v>1560723.3399999999</v>
      </c>
      <c r="P50" s="14"/>
    </row>
    <row r="51" spans="1:16" ht="28.5" hidden="1" customHeight="1">
      <c r="A51" s="66" t="s">
        <v>56</v>
      </c>
      <c r="B51" s="98"/>
      <c r="C51" s="78" t="str">
        <f t="shared" ref="C51:O51" si="11">C42</f>
        <v>Janeiro</v>
      </c>
      <c r="D51" s="78" t="str">
        <f t="shared" si="11"/>
        <v>Fevereiro</v>
      </c>
      <c r="E51" s="78" t="str">
        <f t="shared" si="11"/>
        <v xml:space="preserve">Março </v>
      </c>
      <c r="F51" s="78" t="str">
        <f t="shared" si="11"/>
        <v>Abril</v>
      </c>
      <c r="G51" s="78" t="str">
        <f t="shared" si="11"/>
        <v>Maio</v>
      </c>
      <c r="H51" s="78" t="str">
        <f t="shared" si="11"/>
        <v>Junho</v>
      </c>
      <c r="I51" s="78" t="str">
        <f t="shared" si="11"/>
        <v>Julho</v>
      </c>
      <c r="J51" s="78" t="str">
        <f t="shared" si="11"/>
        <v>Agosto</v>
      </c>
      <c r="K51" s="78" t="str">
        <f t="shared" si="11"/>
        <v>Setembro</v>
      </c>
      <c r="L51" s="78" t="str">
        <f t="shared" si="11"/>
        <v>Outubro</v>
      </c>
      <c r="M51" s="78" t="str">
        <f t="shared" si="11"/>
        <v>Novembro</v>
      </c>
      <c r="N51" s="78" t="str">
        <f t="shared" si="11"/>
        <v>Dezembro</v>
      </c>
      <c r="O51" s="40" t="str">
        <f t="shared" si="11"/>
        <v xml:space="preserve">TOTAL </v>
      </c>
    </row>
    <row r="52" spans="1:16" ht="20.25" hidden="1" customHeight="1">
      <c r="A52" s="47" t="s">
        <v>57</v>
      </c>
      <c r="B52" s="97"/>
      <c r="C52" s="130">
        <v>30357.87</v>
      </c>
      <c r="D52" s="130">
        <v>18297.439999999999</v>
      </c>
      <c r="E52" s="130">
        <v>14645.57</v>
      </c>
      <c r="F52" s="130">
        <v>24679.9</v>
      </c>
      <c r="G52" s="130">
        <v>24679.9</v>
      </c>
      <c r="H52" s="130">
        <v>24679.9</v>
      </c>
      <c r="I52" s="130">
        <v>24679.9</v>
      </c>
      <c r="J52" s="130">
        <v>24679.9</v>
      </c>
      <c r="K52" s="130">
        <v>24679.9</v>
      </c>
      <c r="L52" s="130">
        <v>24679.9</v>
      </c>
      <c r="M52" s="130">
        <v>24679.9</v>
      </c>
      <c r="N52" s="130">
        <v>24679.9</v>
      </c>
      <c r="O52" s="105">
        <f>SUM(C52+D52+E52+F52+G52+H52+I52+J52+K52+L52+M52+N52)</f>
        <v>285419.98</v>
      </c>
    </row>
    <row r="53" spans="1:16" ht="20.25" hidden="1" customHeight="1">
      <c r="A53" s="64" t="s">
        <v>58</v>
      </c>
      <c r="B53" s="7"/>
      <c r="C53" s="106">
        <f t="shared" ref="C53:O53" si="12">C52</f>
        <v>30357.87</v>
      </c>
      <c r="D53" s="106">
        <f t="shared" si="12"/>
        <v>18297.439999999999</v>
      </c>
      <c r="E53" s="106">
        <f t="shared" si="12"/>
        <v>14645.57</v>
      </c>
      <c r="F53" s="106">
        <f t="shared" si="12"/>
        <v>24679.9</v>
      </c>
      <c r="G53" s="106">
        <f t="shared" si="12"/>
        <v>24679.9</v>
      </c>
      <c r="H53" s="106">
        <f t="shared" si="12"/>
        <v>24679.9</v>
      </c>
      <c r="I53" s="106">
        <f t="shared" si="12"/>
        <v>24679.9</v>
      </c>
      <c r="J53" s="106">
        <f t="shared" si="12"/>
        <v>24679.9</v>
      </c>
      <c r="K53" s="106">
        <f t="shared" si="12"/>
        <v>24679.9</v>
      </c>
      <c r="L53" s="106">
        <f t="shared" si="12"/>
        <v>24679.9</v>
      </c>
      <c r="M53" s="106">
        <f t="shared" si="12"/>
        <v>24679.9</v>
      </c>
      <c r="N53" s="106">
        <f t="shared" si="12"/>
        <v>24679.9</v>
      </c>
      <c r="O53" s="106">
        <f t="shared" si="12"/>
        <v>285419.98</v>
      </c>
      <c r="P53" s="14"/>
    </row>
    <row r="54" spans="1:16" ht="25.5" hidden="1" customHeight="1">
      <c r="A54" s="63" t="s">
        <v>59</v>
      </c>
      <c r="B54" s="99"/>
      <c r="C54" s="78" t="str">
        <f t="shared" ref="C54:O54" si="13">C51</f>
        <v>Janeiro</v>
      </c>
      <c r="D54" s="78" t="str">
        <f t="shared" si="13"/>
        <v>Fevereiro</v>
      </c>
      <c r="E54" s="78" t="str">
        <f t="shared" si="13"/>
        <v xml:space="preserve">Março </v>
      </c>
      <c r="F54" s="78" t="str">
        <f t="shared" si="13"/>
        <v>Abril</v>
      </c>
      <c r="G54" s="78" t="str">
        <f t="shared" si="13"/>
        <v>Maio</v>
      </c>
      <c r="H54" s="78" t="str">
        <f t="shared" si="13"/>
        <v>Junho</v>
      </c>
      <c r="I54" s="78" t="str">
        <f t="shared" si="13"/>
        <v>Julho</v>
      </c>
      <c r="J54" s="78" t="str">
        <f t="shared" si="13"/>
        <v>Agosto</v>
      </c>
      <c r="K54" s="78" t="str">
        <f t="shared" si="13"/>
        <v>Setembro</v>
      </c>
      <c r="L54" s="78" t="str">
        <f t="shared" si="13"/>
        <v>Outubro</v>
      </c>
      <c r="M54" s="78" t="str">
        <f t="shared" si="13"/>
        <v>Novembro</v>
      </c>
      <c r="N54" s="78" t="str">
        <f t="shared" si="13"/>
        <v>Dezembro</v>
      </c>
      <c r="O54" s="40" t="str">
        <f t="shared" si="13"/>
        <v xml:space="preserve">TOTAL </v>
      </c>
    </row>
    <row r="55" spans="1:16" ht="20.25" hidden="1" customHeight="1">
      <c r="A55" s="47" t="s">
        <v>60</v>
      </c>
      <c r="B55" s="100" t="s">
        <v>989</v>
      </c>
      <c r="C55" s="130">
        <v>1945.08</v>
      </c>
      <c r="D55" s="130">
        <v>1945.08</v>
      </c>
      <c r="E55" s="130">
        <v>1945.08</v>
      </c>
      <c r="F55" s="130">
        <v>1945.08</v>
      </c>
      <c r="G55" s="130">
        <v>1945.08</v>
      </c>
      <c r="H55" s="130">
        <v>1945.08</v>
      </c>
      <c r="I55" s="130">
        <v>1945.08</v>
      </c>
      <c r="J55" s="130">
        <v>1945.08</v>
      </c>
      <c r="K55" s="130">
        <v>1945.08</v>
      </c>
      <c r="L55" s="130">
        <v>1945.08</v>
      </c>
      <c r="M55" s="130">
        <v>1983.98</v>
      </c>
      <c r="N55" s="130">
        <v>1952.17</v>
      </c>
      <c r="O55" s="105">
        <f t="shared" ref="O55:O62" si="14">SUM(C55:N55)</f>
        <v>23386.950000000004</v>
      </c>
    </row>
    <row r="56" spans="1:16" ht="20.25" hidden="1" customHeight="1">
      <c r="A56" s="47" t="s">
        <v>62</v>
      </c>
      <c r="B56" s="97"/>
      <c r="C56" s="130">
        <v>3998.16</v>
      </c>
      <c r="D56" s="130">
        <v>3995.48</v>
      </c>
      <c r="E56" s="130">
        <v>6880.98</v>
      </c>
      <c r="F56" s="130">
        <v>5787.5</v>
      </c>
      <c r="G56" s="130">
        <v>5787.5</v>
      </c>
      <c r="H56" s="130">
        <v>5787.5</v>
      </c>
      <c r="I56" s="130">
        <v>5787.5</v>
      </c>
      <c r="J56" s="130">
        <v>5787.5</v>
      </c>
      <c r="K56" s="130">
        <v>5787.5</v>
      </c>
      <c r="L56" s="130">
        <v>5787.5</v>
      </c>
      <c r="M56" s="130">
        <v>5787.5</v>
      </c>
      <c r="N56" s="130">
        <v>5787.5</v>
      </c>
      <c r="O56" s="105">
        <f t="shared" si="14"/>
        <v>66962.12</v>
      </c>
    </row>
    <row r="57" spans="1:16" ht="20.25" hidden="1" customHeight="1">
      <c r="A57" s="47" t="s">
        <v>500</v>
      </c>
      <c r="B57" s="101"/>
      <c r="C57" s="130">
        <v>1523.86</v>
      </c>
      <c r="D57" s="130"/>
      <c r="E57" s="130">
        <v>3045.61</v>
      </c>
      <c r="F57" s="130"/>
      <c r="G57" s="130"/>
      <c r="H57" s="130"/>
      <c r="I57" s="130">
        <v>1388.98</v>
      </c>
      <c r="J57" s="130"/>
      <c r="K57" s="130">
        <v>1388.98</v>
      </c>
      <c r="L57" s="130">
        <v>1455.89</v>
      </c>
      <c r="M57" s="130">
        <v>1388.98</v>
      </c>
      <c r="N57" s="130"/>
      <c r="O57" s="105">
        <f t="shared" si="14"/>
        <v>10192.299999999999</v>
      </c>
    </row>
    <row r="58" spans="1:16" ht="20.25" hidden="1" customHeight="1">
      <c r="A58" s="47" t="s">
        <v>64</v>
      </c>
      <c r="B58" s="100" t="s">
        <v>65</v>
      </c>
      <c r="C58" s="130">
        <v>2400</v>
      </c>
      <c r="D58" s="130">
        <f>C58</f>
        <v>2400</v>
      </c>
      <c r="E58" s="130">
        <f>D58</f>
        <v>2400</v>
      </c>
      <c r="F58" s="130">
        <v>2448</v>
      </c>
      <c r="G58" s="130">
        <f t="shared" ref="G58:N59" si="15">F58</f>
        <v>2448</v>
      </c>
      <c r="H58" s="130">
        <f t="shared" si="15"/>
        <v>2448</v>
      </c>
      <c r="I58" s="130">
        <f t="shared" si="15"/>
        <v>2448</v>
      </c>
      <c r="J58" s="130">
        <f t="shared" si="15"/>
        <v>2448</v>
      </c>
      <c r="K58" s="130">
        <f t="shared" si="15"/>
        <v>2448</v>
      </c>
      <c r="L58" s="130">
        <f t="shared" si="15"/>
        <v>2448</v>
      </c>
      <c r="M58" s="130">
        <f t="shared" si="15"/>
        <v>2448</v>
      </c>
      <c r="N58" s="130">
        <f t="shared" si="15"/>
        <v>2448</v>
      </c>
      <c r="O58" s="105">
        <f t="shared" si="14"/>
        <v>29232</v>
      </c>
    </row>
    <row r="59" spans="1:16" ht="20.25" hidden="1" customHeight="1">
      <c r="A59" s="47" t="s">
        <v>66</v>
      </c>
      <c r="B59" s="100" t="s">
        <v>67</v>
      </c>
      <c r="C59" s="130">
        <v>6089.43</v>
      </c>
      <c r="D59" s="130">
        <f>C59</f>
        <v>6089.43</v>
      </c>
      <c r="E59" s="130">
        <f>D59</f>
        <v>6089.43</v>
      </c>
      <c r="F59" s="130">
        <f>E59</f>
        <v>6089.43</v>
      </c>
      <c r="G59" s="130">
        <f t="shared" si="15"/>
        <v>6089.43</v>
      </c>
      <c r="H59" s="130">
        <f t="shared" si="15"/>
        <v>6089.43</v>
      </c>
      <c r="I59" s="130">
        <f t="shared" si="15"/>
        <v>6089.43</v>
      </c>
      <c r="J59" s="130">
        <f t="shared" si="15"/>
        <v>6089.43</v>
      </c>
      <c r="K59" s="130">
        <f t="shared" si="15"/>
        <v>6089.43</v>
      </c>
      <c r="L59" s="130">
        <f t="shared" si="15"/>
        <v>6089.43</v>
      </c>
      <c r="M59" s="130">
        <f t="shared" si="15"/>
        <v>6089.43</v>
      </c>
      <c r="N59" s="130">
        <f t="shared" si="15"/>
        <v>6089.43</v>
      </c>
      <c r="O59" s="105">
        <f t="shared" si="14"/>
        <v>73073.16</v>
      </c>
    </row>
    <row r="60" spans="1:16" ht="20.25" hidden="1" customHeight="1">
      <c r="A60" s="47" t="s">
        <v>68</v>
      </c>
      <c r="B60" s="100" t="s">
        <v>69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0">
        <v>21736.62</v>
      </c>
      <c r="N60" s="130">
        <v>0</v>
      </c>
      <c r="O60" s="105">
        <f t="shared" si="14"/>
        <v>21736.62</v>
      </c>
    </row>
    <row r="61" spans="1:16" ht="20.25" hidden="1" customHeight="1">
      <c r="A61" s="47" t="s">
        <v>70</v>
      </c>
      <c r="B61" s="100" t="s">
        <v>67</v>
      </c>
      <c r="C61" s="130">
        <f>2500</f>
        <v>2500</v>
      </c>
      <c r="D61" s="130">
        <v>0</v>
      </c>
      <c r="E61" s="130">
        <v>2500</v>
      </c>
      <c r="F61" s="130">
        <f>2500</f>
        <v>2500</v>
      </c>
      <c r="G61" s="130">
        <f>2500</f>
        <v>2500</v>
      </c>
      <c r="H61" s="130">
        <f>2500</f>
        <v>2500</v>
      </c>
      <c r="I61" s="130">
        <f>2500</f>
        <v>2500</v>
      </c>
      <c r="J61" s="130">
        <f>2500</f>
        <v>2500</v>
      </c>
      <c r="K61" s="130">
        <f>2500</f>
        <v>2500</v>
      </c>
      <c r="L61" s="130">
        <f>2500</f>
        <v>2500</v>
      </c>
      <c r="M61" s="130">
        <f>2500</f>
        <v>2500</v>
      </c>
      <c r="N61" s="130">
        <f>2500</f>
        <v>2500</v>
      </c>
      <c r="O61" s="105">
        <f t="shared" si="14"/>
        <v>27500</v>
      </c>
    </row>
    <row r="62" spans="1:16" ht="20.25" hidden="1" customHeight="1">
      <c r="A62" s="47" t="s">
        <v>71</v>
      </c>
      <c r="B62" s="101"/>
      <c r="C62" s="130">
        <v>1940.41</v>
      </c>
      <c r="D62" s="130">
        <v>948</v>
      </c>
      <c r="E62" s="130">
        <v>423.18</v>
      </c>
      <c r="F62" s="130">
        <v>2540</v>
      </c>
      <c r="G62" s="130">
        <v>2540</v>
      </c>
      <c r="H62" s="130">
        <v>2540</v>
      </c>
      <c r="I62" s="130">
        <v>2540</v>
      </c>
      <c r="J62" s="130">
        <v>2540</v>
      </c>
      <c r="K62" s="130">
        <v>2540</v>
      </c>
      <c r="L62" s="130">
        <v>2540</v>
      </c>
      <c r="M62" s="130">
        <v>2540</v>
      </c>
      <c r="N62" s="130">
        <v>2540</v>
      </c>
      <c r="O62" s="105">
        <f t="shared" si="14"/>
        <v>26171.59</v>
      </c>
    </row>
    <row r="63" spans="1:16" ht="20.25" hidden="1" customHeight="1">
      <c r="A63" s="64" t="s">
        <v>72</v>
      </c>
      <c r="B63" s="7"/>
      <c r="C63" s="106">
        <f t="shared" ref="C63:O63" si="16">SUM(C55:C62)</f>
        <v>20396.939999999999</v>
      </c>
      <c r="D63" s="106">
        <f t="shared" si="16"/>
        <v>15377.99</v>
      </c>
      <c r="E63" s="106">
        <f t="shared" si="16"/>
        <v>23284.28</v>
      </c>
      <c r="F63" s="106">
        <f t="shared" si="16"/>
        <v>21310.010000000002</v>
      </c>
      <c r="G63" s="106">
        <f t="shared" si="16"/>
        <v>21310.010000000002</v>
      </c>
      <c r="H63" s="106">
        <f t="shared" si="16"/>
        <v>21310.010000000002</v>
      </c>
      <c r="I63" s="106">
        <f t="shared" si="16"/>
        <v>22698.989999999998</v>
      </c>
      <c r="J63" s="106">
        <f t="shared" si="16"/>
        <v>21310.010000000002</v>
      </c>
      <c r="K63" s="106">
        <f t="shared" si="16"/>
        <v>22698.989999999998</v>
      </c>
      <c r="L63" s="106">
        <f t="shared" si="16"/>
        <v>22765.9</v>
      </c>
      <c r="M63" s="106">
        <f t="shared" si="16"/>
        <v>44474.509999999995</v>
      </c>
      <c r="N63" s="106">
        <f t="shared" si="16"/>
        <v>21317.1</v>
      </c>
      <c r="O63" s="106">
        <f t="shared" si="16"/>
        <v>278254.74000000005</v>
      </c>
      <c r="P63" s="14"/>
    </row>
    <row r="64" spans="1:16" ht="24.75" customHeight="1">
      <c r="A64" s="63" t="s">
        <v>73</v>
      </c>
      <c r="B64" s="99"/>
      <c r="C64" s="78" t="str">
        <f t="shared" ref="C64:O64" si="17">C54</f>
        <v>Janeiro</v>
      </c>
      <c r="D64" s="78" t="str">
        <f t="shared" si="17"/>
        <v>Fevereiro</v>
      </c>
      <c r="E64" s="78" t="str">
        <f t="shared" si="17"/>
        <v xml:space="preserve">Março </v>
      </c>
      <c r="F64" s="78" t="str">
        <f t="shared" si="17"/>
        <v>Abril</v>
      </c>
      <c r="G64" s="78" t="str">
        <f t="shared" si="17"/>
        <v>Maio</v>
      </c>
      <c r="H64" s="78" t="str">
        <f t="shared" si="17"/>
        <v>Junho</v>
      </c>
      <c r="I64" s="78" t="str">
        <f t="shared" si="17"/>
        <v>Julho</v>
      </c>
      <c r="J64" s="78" t="str">
        <f t="shared" si="17"/>
        <v>Agosto</v>
      </c>
      <c r="K64" s="78" t="str">
        <f t="shared" si="17"/>
        <v>Setembro</v>
      </c>
      <c r="L64" s="78" t="str">
        <f t="shared" si="17"/>
        <v>Outubro</v>
      </c>
      <c r="M64" s="78" t="str">
        <f t="shared" si="17"/>
        <v>Novembro</v>
      </c>
      <c r="N64" s="78" t="str">
        <f t="shared" si="17"/>
        <v>Dezembro</v>
      </c>
      <c r="O64" s="40" t="str">
        <f t="shared" si="17"/>
        <v xml:space="preserve">TOTAL </v>
      </c>
    </row>
    <row r="65" spans="1:15" ht="24.75" hidden="1" customHeight="1">
      <c r="A65" s="65" t="s">
        <v>990</v>
      </c>
      <c r="B65" s="102"/>
      <c r="C65" s="130">
        <v>499</v>
      </c>
      <c r="D65" s="130">
        <v>499</v>
      </c>
      <c r="E65" s="130">
        <v>499</v>
      </c>
      <c r="F65" s="130">
        <v>499</v>
      </c>
      <c r="G65" s="130">
        <v>499</v>
      </c>
      <c r="H65" s="130">
        <v>499</v>
      </c>
      <c r="I65" s="130">
        <v>499</v>
      </c>
      <c r="J65" s="130">
        <v>499</v>
      </c>
      <c r="K65" s="130">
        <v>499</v>
      </c>
      <c r="L65" s="130">
        <v>499</v>
      </c>
      <c r="M65" s="130">
        <f>L65*1.02</f>
        <v>508.98</v>
      </c>
      <c r="N65" s="130">
        <v>508.98</v>
      </c>
      <c r="O65" s="105">
        <f t="shared" ref="O65:O88" si="18">SUM(C65:N65)</f>
        <v>6007.9599999999991</v>
      </c>
    </row>
    <row r="66" spans="1:15" ht="20.25" hidden="1" customHeight="1">
      <c r="A66" s="47" t="s">
        <v>76</v>
      </c>
      <c r="B66" s="100" t="s">
        <v>991</v>
      </c>
      <c r="C66" s="133">
        <v>0</v>
      </c>
      <c r="D66" s="133">
        <v>0</v>
      </c>
      <c r="E66" s="133">
        <v>0</v>
      </c>
      <c r="F66" s="130">
        <v>495228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05">
        <f t="shared" si="18"/>
        <v>495228</v>
      </c>
    </row>
    <row r="67" spans="1:15" ht="25.5" hidden="1" customHeight="1">
      <c r="A67" s="47" t="s">
        <v>78</v>
      </c>
      <c r="B67" s="100" t="s">
        <v>79</v>
      </c>
      <c r="C67" s="133">
        <v>0</v>
      </c>
      <c r="D67" s="133">
        <v>0</v>
      </c>
      <c r="E67" s="133">
        <v>0</v>
      </c>
      <c r="F67" s="130">
        <v>123249.4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05">
        <f t="shared" si="18"/>
        <v>123249.4</v>
      </c>
    </row>
    <row r="68" spans="1:15" ht="20.25" hidden="1" customHeight="1">
      <c r="A68" s="47" t="s">
        <v>82</v>
      </c>
      <c r="B68" s="100" t="s">
        <v>83</v>
      </c>
      <c r="C68" s="134">
        <v>140369.67000000001</v>
      </c>
      <c r="D68" s="134">
        <f>C68</f>
        <v>140369.67000000001</v>
      </c>
      <c r="E68" s="134">
        <f t="shared" ref="E68:N69" si="19">D68</f>
        <v>140369.67000000001</v>
      </c>
      <c r="F68" s="134">
        <f t="shared" si="19"/>
        <v>140369.67000000001</v>
      </c>
      <c r="G68" s="134">
        <f t="shared" si="19"/>
        <v>140369.67000000001</v>
      </c>
      <c r="H68" s="134">
        <f t="shared" si="19"/>
        <v>140369.67000000001</v>
      </c>
      <c r="I68" s="134">
        <f t="shared" si="19"/>
        <v>140369.67000000001</v>
      </c>
      <c r="J68" s="134">
        <f t="shared" si="19"/>
        <v>140369.67000000001</v>
      </c>
      <c r="K68" s="134">
        <f t="shared" si="19"/>
        <v>140369.67000000001</v>
      </c>
      <c r="L68" s="134">
        <f t="shared" si="19"/>
        <v>140369.67000000001</v>
      </c>
      <c r="M68" s="134">
        <f t="shared" si="19"/>
        <v>140369.67000000001</v>
      </c>
      <c r="N68" s="134">
        <f t="shared" si="19"/>
        <v>140369.67000000001</v>
      </c>
      <c r="O68" s="105">
        <f t="shared" si="18"/>
        <v>1684436.0399999998</v>
      </c>
    </row>
    <row r="69" spans="1:15" ht="21" hidden="1" customHeight="1">
      <c r="A69" s="47" t="s">
        <v>84</v>
      </c>
      <c r="B69" s="96" t="s">
        <v>85</v>
      </c>
      <c r="C69" s="134">
        <v>3276</v>
      </c>
      <c r="D69" s="134">
        <f>C69</f>
        <v>3276</v>
      </c>
      <c r="E69" s="134">
        <f>D69</f>
        <v>3276</v>
      </c>
      <c r="F69" s="134">
        <f>E69</f>
        <v>3276</v>
      </c>
      <c r="G69" s="134">
        <f>F69</f>
        <v>3276</v>
      </c>
      <c r="H69" s="134">
        <f>G69</f>
        <v>3276</v>
      </c>
      <c r="I69" s="134">
        <f>H69</f>
        <v>3276</v>
      </c>
      <c r="J69" s="134">
        <f t="shared" si="19"/>
        <v>3276</v>
      </c>
      <c r="K69" s="134">
        <f t="shared" si="19"/>
        <v>3276</v>
      </c>
      <c r="L69" s="134">
        <f t="shared" si="19"/>
        <v>3276</v>
      </c>
      <c r="M69" s="134">
        <f t="shared" si="19"/>
        <v>3276</v>
      </c>
      <c r="N69" s="134">
        <f t="shared" si="19"/>
        <v>3276</v>
      </c>
      <c r="O69" s="105">
        <f t="shared" si="18"/>
        <v>39312</v>
      </c>
    </row>
    <row r="70" spans="1:15" ht="20.25" hidden="1" customHeight="1">
      <c r="A70" s="47" t="s">
        <v>86</v>
      </c>
      <c r="B70" s="100" t="s">
        <v>87</v>
      </c>
      <c r="C70" s="134">
        <v>223661.41</v>
      </c>
      <c r="D70" s="134">
        <v>229486.47</v>
      </c>
      <c r="E70" s="134">
        <v>227907.73</v>
      </c>
      <c r="F70" s="134">
        <v>225419.93</v>
      </c>
      <c r="G70" s="134">
        <v>232257.67</v>
      </c>
      <c r="H70" s="134">
        <v>241199.33</v>
      </c>
      <c r="I70" s="134">
        <v>241199.33</v>
      </c>
      <c r="J70" s="134">
        <v>241199.33</v>
      </c>
      <c r="K70" s="134">
        <v>241199.33</v>
      </c>
      <c r="L70" s="134">
        <v>241199.33</v>
      </c>
      <c r="M70" s="134">
        <v>241199.33</v>
      </c>
      <c r="N70" s="134">
        <v>241199.33</v>
      </c>
      <c r="O70" s="105">
        <f t="shared" si="18"/>
        <v>2827128.5200000005</v>
      </c>
    </row>
    <row r="71" spans="1:15" ht="21" customHeight="1">
      <c r="A71" s="47" t="s">
        <v>992</v>
      </c>
      <c r="B71" s="100"/>
      <c r="C71" s="130">
        <v>239367.44</v>
      </c>
      <c r="D71" s="130">
        <v>307868.42</v>
      </c>
      <c r="E71" s="130">
        <v>307868.42</v>
      </c>
      <c r="F71" s="130">
        <v>250000</v>
      </c>
      <c r="G71" s="130">
        <v>250000</v>
      </c>
      <c r="H71" s="130">
        <v>200000</v>
      </c>
      <c r="I71" s="130">
        <v>100000</v>
      </c>
      <c r="J71" s="130">
        <v>100000</v>
      </c>
      <c r="K71" s="130">
        <v>100000</v>
      </c>
      <c r="L71" s="130">
        <v>100000</v>
      </c>
      <c r="M71" s="130">
        <v>100000</v>
      </c>
      <c r="N71" s="130">
        <v>100000</v>
      </c>
      <c r="O71" s="105">
        <f t="shared" si="18"/>
        <v>2155104.2800000003</v>
      </c>
    </row>
    <row r="72" spans="1:15" ht="21" customHeight="1">
      <c r="A72" s="47" t="s">
        <v>993</v>
      </c>
      <c r="B72" s="100"/>
      <c r="C72" s="134">
        <v>103999.89</v>
      </c>
      <c r="D72" s="134">
        <v>97499.91</v>
      </c>
      <c r="E72" s="134">
        <v>97499.91</v>
      </c>
      <c r="F72" s="134">
        <v>97499.91</v>
      </c>
      <c r="G72" s="134">
        <v>97499.91</v>
      </c>
      <c r="H72" s="134">
        <v>97499.91</v>
      </c>
      <c r="I72" s="134">
        <v>50000</v>
      </c>
      <c r="J72" s="134">
        <v>50000</v>
      </c>
      <c r="K72" s="134">
        <v>50000</v>
      </c>
      <c r="L72" s="134">
        <v>50000</v>
      </c>
      <c r="M72" s="134">
        <v>50000</v>
      </c>
      <c r="N72" s="134">
        <v>50000</v>
      </c>
      <c r="O72" s="105">
        <f t="shared" si="18"/>
        <v>891499.44000000006</v>
      </c>
    </row>
    <row r="73" spans="1:15" ht="20.25" hidden="1" customHeight="1">
      <c r="A73" s="47" t="s">
        <v>93</v>
      </c>
      <c r="B73" s="100" t="s">
        <v>81</v>
      </c>
      <c r="C73" s="134">
        <v>7938.77</v>
      </c>
      <c r="D73" s="134">
        <v>8754.5499999999993</v>
      </c>
      <c r="E73" s="135">
        <v>6663.41</v>
      </c>
      <c r="F73" s="134">
        <v>18776.419999999998</v>
      </c>
      <c r="G73" s="134">
        <v>18776.419999999998</v>
      </c>
      <c r="H73" s="134">
        <v>18776.419999999998</v>
      </c>
      <c r="I73" s="134">
        <v>18776.419999999998</v>
      </c>
      <c r="J73" s="134">
        <v>18776.419999999998</v>
      </c>
      <c r="K73" s="134">
        <v>18776.419999999998</v>
      </c>
      <c r="L73" s="134">
        <v>18776.419999999998</v>
      </c>
      <c r="M73" s="134">
        <v>18776.419999999998</v>
      </c>
      <c r="N73" s="134">
        <v>18776.419999999998</v>
      </c>
      <c r="O73" s="105">
        <f t="shared" si="18"/>
        <v>192344.50999999995</v>
      </c>
    </row>
    <row r="74" spans="1:15" ht="20.25" hidden="1" customHeight="1">
      <c r="A74" s="47" t="s">
        <v>94</v>
      </c>
      <c r="B74" s="100" t="s">
        <v>95</v>
      </c>
      <c r="C74" s="130">
        <v>162647.19</v>
      </c>
      <c r="D74" s="130">
        <v>111082.41</v>
      </c>
      <c r="E74" s="130">
        <v>110878.74</v>
      </c>
      <c r="F74" s="130">
        <v>93561</v>
      </c>
      <c r="G74" s="130">
        <v>93561</v>
      </c>
      <c r="H74" s="130">
        <v>93561</v>
      </c>
      <c r="I74" s="130">
        <v>93561</v>
      </c>
      <c r="J74" s="130">
        <v>93561</v>
      </c>
      <c r="K74" s="130">
        <v>93561</v>
      </c>
      <c r="L74" s="130">
        <v>93561</v>
      </c>
      <c r="M74" s="130">
        <v>93561</v>
      </c>
      <c r="N74" s="130">
        <v>93561</v>
      </c>
      <c r="O74" s="105">
        <f t="shared" si="18"/>
        <v>1226657.3399999999</v>
      </c>
    </row>
    <row r="75" spans="1:15" ht="20.25" hidden="1" customHeight="1">
      <c r="A75" s="47" t="s">
        <v>96</v>
      </c>
      <c r="B75" s="96" t="s">
        <v>97</v>
      </c>
      <c r="C75" s="130">
        <f>15000</f>
        <v>15000</v>
      </c>
      <c r="D75" s="130">
        <f>C75</f>
        <v>15000</v>
      </c>
      <c r="E75" s="130">
        <f>D75</f>
        <v>15000</v>
      </c>
      <c r="F75" s="130">
        <f>E75</f>
        <v>15000</v>
      </c>
      <c r="G75" s="130">
        <f>F75</f>
        <v>15000</v>
      </c>
      <c r="H75" s="130">
        <f>15300</f>
        <v>15300</v>
      </c>
      <c r="I75" s="130">
        <f t="shared" ref="I75:N75" si="20">H75</f>
        <v>15300</v>
      </c>
      <c r="J75" s="130">
        <f t="shared" si="20"/>
        <v>15300</v>
      </c>
      <c r="K75" s="130">
        <f t="shared" si="20"/>
        <v>15300</v>
      </c>
      <c r="L75" s="130">
        <f t="shared" si="20"/>
        <v>15300</v>
      </c>
      <c r="M75" s="130">
        <f t="shared" si="20"/>
        <v>15300</v>
      </c>
      <c r="N75" s="130">
        <f t="shared" si="20"/>
        <v>15300</v>
      </c>
      <c r="O75" s="105">
        <f t="shared" si="18"/>
        <v>182100</v>
      </c>
    </row>
    <row r="76" spans="1:15" ht="20.25" hidden="1" customHeight="1">
      <c r="A76" s="47" t="s">
        <v>98</v>
      </c>
      <c r="B76" s="100" t="s">
        <v>994</v>
      </c>
      <c r="C76" s="131">
        <v>0</v>
      </c>
      <c r="D76" s="131">
        <v>0</v>
      </c>
      <c r="E76" s="131">
        <v>0</v>
      </c>
      <c r="F76" s="130"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05">
        <f t="shared" si="18"/>
        <v>0</v>
      </c>
    </row>
    <row r="77" spans="1:15" ht="20.25" hidden="1" customHeight="1">
      <c r="A77" s="47" t="s">
        <v>995</v>
      </c>
      <c r="B77" s="100" t="s">
        <v>101</v>
      </c>
      <c r="C77" s="130">
        <v>1200</v>
      </c>
      <c r="D77" s="130">
        <v>0</v>
      </c>
      <c r="E77" s="130">
        <v>2400</v>
      </c>
      <c r="F77" s="130">
        <v>1200</v>
      </c>
      <c r="G77" s="130">
        <v>1224</v>
      </c>
      <c r="H77" s="130">
        <v>1224</v>
      </c>
      <c r="I77" s="130">
        <v>1224</v>
      </c>
      <c r="J77" s="130">
        <v>1224</v>
      </c>
      <c r="K77" s="130">
        <v>1224</v>
      </c>
      <c r="L77" s="130">
        <v>1224</v>
      </c>
      <c r="M77" s="130">
        <v>1224</v>
      </c>
      <c r="N77" s="130">
        <v>1224</v>
      </c>
      <c r="O77" s="105">
        <f t="shared" si="18"/>
        <v>14592</v>
      </c>
    </row>
    <row r="78" spans="1:15" ht="20.25" hidden="1" customHeight="1">
      <c r="A78" s="47" t="s">
        <v>102</v>
      </c>
      <c r="B78" s="100" t="s">
        <v>103</v>
      </c>
      <c r="C78" s="130">
        <v>0</v>
      </c>
      <c r="D78" s="130">
        <v>0</v>
      </c>
      <c r="E78" s="130">
        <v>0</v>
      </c>
      <c r="F78" s="130">
        <v>892.5</v>
      </c>
      <c r="G78" s="130">
        <v>892.5</v>
      </c>
      <c r="H78" s="130">
        <v>892.5</v>
      </c>
      <c r="I78" s="130">
        <v>892.5</v>
      </c>
      <c r="J78" s="130">
        <v>892.5</v>
      </c>
      <c r="K78" s="130">
        <v>892.5</v>
      </c>
      <c r="L78" s="130">
        <v>892.5</v>
      </c>
      <c r="M78" s="130">
        <v>892.5</v>
      </c>
      <c r="N78" s="130">
        <v>892.5</v>
      </c>
      <c r="O78" s="105">
        <f t="shared" si="18"/>
        <v>8032.5</v>
      </c>
    </row>
    <row r="79" spans="1:15" ht="20.25" hidden="1" customHeight="1">
      <c r="A79" s="47" t="s">
        <v>104</v>
      </c>
      <c r="B79" s="96" t="s">
        <v>105</v>
      </c>
      <c r="C79" s="130">
        <v>0</v>
      </c>
      <c r="D79" s="130">
        <v>0</v>
      </c>
      <c r="E79" s="130">
        <v>45817</v>
      </c>
      <c r="F79" s="130">
        <v>15336.3</v>
      </c>
      <c r="G79" s="130">
        <v>15336.3</v>
      </c>
      <c r="H79" s="130">
        <v>15336.3</v>
      </c>
      <c r="I79" s="130">
        <v>15336.3</v>
      </c>
      <c r="J79" s="130">
        <v>15336.3</v>
      </c>
      <c r="K79" s="130">
        <v>15336.3</v>
      </c>
      <c r="L79" s="130">
        <f>K79*1.02</f>
        <v>15643.026</v>
      </c>
      <c r="M79" s="130">
        <v>15643.03</v>
      </c>
      <c r="N79" s="130">
        <v>15643.03</v>
      </c>
      <c r="O79" s="105">
        <f t="shared" si="18"/>
        <v>184763.88600000003</v>
      </c>
    </row>
    <row r="80" spans="1:15" ht="20.25" hidden="1" customHeight="1">
      <c r="A80" s="65" t="s">
        <v>106</v>
      </c>
      <c r="B80" s="100" t="s">
        <v>996</v>
      </c>
      <c r="C80" s="130">
        <v>0</v>
      </c>
      <c r="D80" s="130">
        <v>0</v>
      </c>
      <c r="E80" s="130">
        <v>0</v>
      </c>
      <c r="F80" s="130">
        <v>0</v>
      </c>
      <c r="G80" s="130">
        <v>0</v>
      </c>
      <c r="H80" s="130">
        <v>27761</v>
      </c>
      <c r="I80" s="130">
        <f t="shared" ref="H80:N82" si="21">H80</f>
        <v>27761</v>
      </c>
      <c r="J80" s="130">
        <f t="shared" si="21"/>
        <v>27761</v>
      </c>
      <c r="K80" s="130">
        <f t="shared" si="21"/>
        <v>27761</v>
      </c>
      <c r="L80" s="130">
        <f t="shared" si="21"/>
        <v>27761</v>
      </c>
      <c r="M80" s="130">
        <f t="shared" si="21"/>
        <v>27761</v>
      </c>
      <c r="N80" s="130">
        <f t="shared" si="21"/>
        <v>27761</v>
      </c>
      <c r="O80" s="105">
        <f t="shared" si="18"/>
        <v>194327</v>
      </c>
    </row>
    <row r="81" spans="1:16" ht="20.25" customHeight="1">
      <c r="A81" s="47" t="s">
        <v>108</v>
      </c>
      <c r="B81" s="100" t="s">
        <v>109</v>
      </c>
      <c r="C81" s="134">
        <v>40930.32</v>
      </c>
      <c r="D81" s="134">
        <f>C81</f>
        <v>40930.32</v>
      </c>
      <c r="E81" s="134">
        <f>D81</f>
        <v>40930.32</v>
      </c>
      <c r="F81" s="134">
        <f>E81</f>
        <v>40930.32</v>
      </c>
      <c r="G81" s="134">
        <f>F81</f>
        <v>40930.32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05">
        <f t="shared" si="18"/>
        <v>204651.6</v>
      </c>
    </row>
    <row r="82" spans="1:16" ht="20.25" hidden="1" customHeight="1">
      <c r="A82" s="47" t="s">
        <v>110</v>
      </c>
      <c r="B82" s="100" t="s">
        <v>111</v>
      </c>
      <c r="C82" s="134">
        <f>5108.15</f>
        <v>5108.1499999999996</v>
      </c>
      <c r="D82" s="134">
        <f>C82</f>
        <v>5108.1499999999996</v>
      </c>
      <c r="E82" s="134">
        <v>0</v>
      </c>
      <c r="F82" s="134">
        <v>10420.620000000001</v>
      </c>
      <c r="G82" s="134">
        <f>F82</f>
        <v>10420.620000000001</v>
      </c>
      <c r="H82" s="134">
        <f t="shared" si="21"/>
        <v>10420.620000000001</v>
      </c>
      <c r="I82" s="134">
        <f t="shared" si="21"/>
        <v>10420.620000000001</v>
      </c>
      <c r="J82" s="134">
        <f t="shared" si="21"/>
        <v>10420.620000000001</v>
      </c>
      <c r="K82" s="134">
        <f t="shared" si="21"/>
        <v>10420.620000000001</v>
      </c>
      <c r="L82" s="134">
        <f t="shared" si="21"/>
        <v>10420.620000000001</v>
      </c>
      <c r="M82" s="134">
        <f t="shared" si="21"/>
        <v>10420.620000000001</v>
      </c>
      <c r="N82" s="134">
        <f t="shared" si="21"/>
        <v>10420.620000000001</v>
      </c>
      <c r="O82" s="105">
        <f t="shared" si="18"/>
        <v>104001.87999999999</v>
      </c>
    </row>
    <row r="83" spans="1:16" ht="20.25" hidden="1" customHeight="1">
      <c r="A83" s="47" t="s">
        <v>997</v>
      </c>
      <c r="B83" s="101"/>
      <c r="C83" s="130">
        <v>0</v>
      </c>
      <c r="D83" s="130">
        <v>0</v>
      </c>
      <c r="E83" s="130">
        <v>0</v>
      </c>
      <c r="F83" s="130">
        <v>20000</v>
      </c>
      <c r="G83" s="130">
        <v>20000</v>
      </c>
      <c r="H83" s="130">
        <v>20000</v>
      </c>
      <c r="I83" s="130">
        <v>20000</v>
      </c>
      <c r="J83" s="130">
        <v>20000</v>
      </c>
      <c r="K83" s="130">
        <v>20000</v>
      </c>
      <c r="L83" s="130">
        <v>20000</v>
      </c>
      <c r="M83" s="130">
        <v>20000</v>
      </c>
      <c r="N83" s="130">
        <v>20000</v>
      </c>
      <c r="O83" s="105">
        <f t="shared" si="18"/>
        <v>180000</v>
      </c>
    </row>
    <row r="84" spans="1:16" ht="20.25" hidden="1" customHeight="1">
      <c r="A84" s="47" t="s">
        <v>998</v>
      </c>
      <c r="B84" s="101" t="s">
        <v>980</v>
      </c>
      <c r="C84" s="136"/>
      <c r="D84" s="136">
        <v>0</v>
      </c>
      <c r="E84" s="136">
        <v>0</v>
      </c>
      <c r="F84" s="136">
        <v>1500</v>
      </c>
      <c r="G84" s="130">
        <v>1500</v>
      </c>
      <c r="H84" s="130"/>
      <c r="I84" s="130"/>
      <c r="J84" s="130"/>
      <c r="K84" s="130"/>
      <c r="L84" s="130"/>
      <c r="M84" s="130"/>
      <c r="N84" s="130"/>
      <c r="O84" s="105">
        <f t="shared" si="18"/>
        <v>3000</v>
      </c>
    </row>
    <row r="85" spans="1:16" ht="20.25" hidden="1" customHeight="1">
      <c r="A85" s="47" t="s">
        <v>999</v>
      </c>
      <c r="B85" s="101" t="s">
        <v>1000</v>
      </c>
      <c r="C85" s="130"/>
      <c r="D85" s="130"/>
      <c r="E85" s="130"/>
      <c r="F85" s="130">
        <v>14000</v>
      </c>
      <c r="G85" s="130"/>
      <c r="H85" s="130"/>
      <c r="I85" s="130"/>
      <c r="J85" s="130"/>
      <c r="K85" s="130"/>
      <c r="L85" s="130"/>
      <c r="M85" s="130"/>
      <c r="N85" s="130"/>
      <c r="O85" s="105">
        <f t="shared" si="18"/>
        <v>14000</v>
      </c>
    </row>
    <row r="86" spans="1:16" ht="20.25" hidden="1" customHeight="1">
      <c r="A86" s="47" t="s">
        <v>1001</v>
      </c>
      <c r="B86" s="101" t="s">
        <v>1000</v>
      </c>
      <c r="C86" s="130"/>
      <c r="D86" s="130"/>
      <c r="E86" s="130">
        <v>0</v>
      </c>
      <c r="F86" s="130">
        <v>1600</v>
      </c>
      <c r="G86" s="130"/>
      <c r="H86" s="130"/>
      <c r="I86" s="130">
        <v>2000</v>
      </c>
      <c r="J86" s="130"/>
      <c r="K86" s="130"/>
      <c r="L86" s="130"/>
      <c r="M86" s="130"/>
      <c r="N86" s="130"/>
      <c r="O86" s="105">
        <f t="shared" si="18"/>
        <v>3600</v>
      </c>
    </row>
    <row r="87" spans="1:16" ht="20.25" hidden="1" customHeight="1">
      <c r="A87" s="47" t="s">
        <v>1002</v>
      </c>
      <c r="B87" s="93" t="s">
        <v>1000</v>
      </c>
      <c r="C87" s="132"/>
      <c r="D87" s="132"/>
      <c r="E87" s="132"/>
      <c r="F87" s="130"/>
      <c r="G87" s="130"/>
      <c r="H87" s="130">
        <v>1700</v>
      </c>
      <c r="I87" s="130"/>
      <c r="J87" s="130"/>
      <c r="K87" s="130"/>
      <c r="L87" s="130"/>
      <c r="M87" s="130"/>
      <c r="N87" s="130"/>
      <c r="O87" s="105">
        <f t="shared" si="18"/>
        <v>1700</v>
      </c>
    </row>
    <row r="88" spans="1:16" s="4" customFormat="1" ht="20.25" hidden="1" customHeight="1">
      <c r="A88" s="47" t="s">
        <v>1003</v>
      </c>
      <c r="B88" s="101" t="s">
        <v>1000</v>
      </c>
      <c r="C88" s="134"/>
      <c r="D88" s="134"/>
      <c r="E88" s="134">
        <v>0</v>
      </c>
      <c r="F88" s="134">
        <v>90</v>
      </c>
      <c r="G88" s="134"/>
      <c r="H88" s="134"/>
      <c r="I88" s="134"/>
      <c r="J88" s="134"/>
      <c r="K88" s="134"/>
      <c r="L88" s="134">
        <v>500</v>
      </c>
      <c r="M88" s="134"/>
      <c r="N88" s="134"/>
      <c r="O88" s="105">
        <f t="shared" si="18"/>
        <v>590</v>
      </c>
    </row>
    <row r="89" spans="1:16" ht="20.25" customHeight="1">
      <c r="A89" s="64" t="s">
        <v>1004</v>
      </c>
      <c r="B89" s="7"/>
      <c r="C89" s="106">
        <f>SUM(C65:C88)</f>
        <v>943997.84000000008</v>
      </c>
      <c r="D89" s="106">
        <f t="shared" ref="D89:N89" si="22">SUM(D65:D88)</f>
        <v>959874.90000000014</v>
      </c>
      <c r="E89" s="106">
        <f t="shared" si="22"/>
        <v>999110.20000000007</v>
      </c>
      <c r="F89" s="106">
        <f t="shared" si="22"/>
        <v>1568849.07</v>
      </c>
      <c r="G89" s="106">
        <f t="shared" si="22"/>
        <v>941543.41000000015</v>
      </c>
      <c r="H89" s="106">
        <f t="shared" si="22"/>
        <v>887815.75000000012</v>
      </c>
      <c r="I89" s="106">
        <f t="shared" si="22"/>
        <v>740615.84000000008</v>
      </c>
      <c r="J89" s="106">
        <f t="shared" si="22"/>
        <v>738615.84000000008</v>
      </c>
      <c r="K89" s="106">
        <f t="shared" si="22"/>
        <v>738615.84000000008</v>
      </c>
      <c r="L89" s="106">
        <f t="shared" si="22"/>
        <v>739422.56599999999</v>
      </c>
      <c r="M89" s="106">
        <f t="shared" si="22"/>
        <v>738932.55</v>
      </c>
      <c r="N89" s="106">
        <f t="shared" si="22"/>
        <v>738932.55</v>
      </c>
      <c r="O89" s="106">
        <f>SUM(O65:O88)</f>
        <v>10736326.356000001</v>
      </c>
      <c r="P89" s="14"/>
    </row>
    <row r="90" spans="1:16" ht="27" hidden="1" customHeight="1">
      <c r="A90" s="63" t="s">
        <v>116</v>
      </c>
      <c r="B90" s="46"/>
      <c r="C90" s="78" t="str">
        <f t="shared" ref="C90:O90" si="23">C64</f>
        <v>Janeiro</v>
      </c>
      <c r="D90" s="78" t="str">
        <f t="shared" si="23"/>
        <v>Fevereiro</v>
      </c>
      <c r="E90" s="78" t="str">
        <f t="shared" si="23"/>
        <v xml:space="preserve">Março </v>
      </c>
      <c r="F90" s="78" t="str">
        <f t="shared" si="23"/>
        <v>Abril</v>
      </c>
      <c r="G90" s="78" t="str">
        <f t="shared" si="23"/>
        <v>Maio</v>
      </c>
      <c r="H90" s="78" t="str">
        <f t="shared" si="23"/>
        <v>Junho</v>
      </c>
      <c r="I90" s="78" t="str">
        <f t="shared" si="23"/>
        <v>Julho</v>
      </c>
      <c r="J90" s="78" t="str">
        <f t="shared" si="23"/>
        <v>Agosto</v>
      </c>
      <c r="K90" s="78" t="str">
        <f t="shared" si="23"/>
        <v>Setembro</v>
      </c>
      <c r="L90" s="78" t="str">
        <f t="shared" si="23"/>
        <v>Outubro</v>
      </c>
      <c r="M90" s="78" t="str">
        <f t="shared" si="23"/>
        <v>Novembro</v>
      </c>
      <c r="N90" s="78" t="str">
        <f t="shared" si="23"/>
        <v>Dezembro</v>
      </c>
      <c r="O90" s="40" t="str">
        <f t="shared" si="23"/>
        <v xml:space="preserve">TOTAL </v>
      </c>
    </row>
    <row r="91" spans="1:16" ht="20.25" hidden="1" customHeight="1">
      <c r="A91" s="65" t="s">
        <v>117</v>
      </c>
      <c r="B91" s="60"/>
      <c r="C91" s="130">
        <v>20000</v>
      </c>
      <c r="D91" s="130">
        <v>10000</v>
      </c>
      <c r="E91" s="130">
        <v>10000</v>
      </c>
      <c r="F91" s="130">
        <v>10200</v>
      </c>
      <c r="G91" s="130">
        <v>10200</v>
      </c>
      <c r="H91" s="130">
        <v>10200</v>
      </c>
      <c r="I91" s="130">
        <v>10200</v>
      </c>
      <c r="J91" s="130">
        <v>10200</v>
      </c>
      <c r="K91" s="130">
        <v>10200</v>
      </c>
      <c r="L91" s="130">
        <v>10200</v>
      </c>
      <c r="M91" s="130">
        <v>10200</v>
      </c>
      <c r="N91" s="130">
        <v>10200</v>
      </c>
      <c r="O91" s="105">
        <f t="shared" ref="O91:O117" si="24">SUM(C91:N91)</f>
        <v>131800</v>
      </c>
    </row>
    <row r="92" spans="1:16" ht="20.25" hidden="1" customHeight="1">
      <c r="A92" s="47" t="s">
        <v>119</v>
      </c>
      <c r="B92" s="47"/>
      <c r="C92" s="131"/>
      <c r="D92" s="131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05">
        <f t="shared" si="24"/>
        <v>0</v>
      </c>
    </row>
    <row r="93" spans="1:16" ht="20.25" hidden="1" customHeight="1">
      <c r="A93" s="47" t="s">
        <v>1005</v>
      </c>
      <c r="C93" s="131">
        <v>0</v>
      </c>
      <c r="D93" s="130">
        <v>15640</v>
      </c>
      <c r="E93" s="130">
        <v>0</v>
      </c>
      <c r="F93" s="130">
        <v>0</v>
      </c>
      <c r="G93" s="130">
        <v>0</v>
      </c>
      <c r="H93" s="130">
        <v>0</v>
      </c>
      <c r="I93" s="130">
        <v>0</v>
      </c>
      <c r="J93" s="130">
        <v>0</v>
      </c>
      <c r="K93" s="130">
        <v>0</v>
      </c>
      <c r="L93" s="130">
        <v>0</v>
      </c>
      <c r="M93" s="130">
        <v>0</v>
      </c>
      <c r="N93" s="130">
        <v>0</v>
      </c>
      <c r="O93" s="105">
        <f t="shared" si="24"/>
        <v>15640</v>
      </c>
    </row>
    <row r="94" spans="1:16" ht="20.25" hidden="1" customHeight="1">
      <c r="A94" s="65" t="s">
        <v>121</v>
      </c>
      <c r="B94" s="49"/>
      <c r="C94" s="130">
        <v>3300</v>
      </c>
      <c r="D94" s="130">
        <v>3300</v>
      </c>
      <c r="E94" s="130">
        <v>3300</v>
      </c>
      <c r="F94" s="130">
        <v>3300</v>
      </c>
      <c r="G94" s="130">
        <v>3300</v>
      </c>
      <c r="H94" s="130">
        <v>3300</v>
      </c>
      <c r="I94" s="136">
        <v>15193.85</v>
      </c>
      <c r="J94" s="136">
        <v>15193.85</v>
      </c>
      <c r="K94" s="136">
        <v>15193.85</v>
      </c>
      <c r="L94" s="136">
        <v>15193.85</v>
      </c>
      <c r="M94" s="136">
        <v>15193.85</v>
      </c>
      <c r="N94" s="136">
        <v>15193.85</v>
      </c>
      <c r="O94" s="105">
        <f t="shared" si="24"/>
        <v>110963.1</v>
      </c>
    </row>
    <row r="95" spans="1:16" ht="20.25" hidden="1" customHeight="1">
      <c r="A95" s="65" t="s">
        <v>1006</v>
      </c>
      <c r="B95" s="49"/>
      <c r="C95" s="131"/>
      <c r="D95" s="130"/>
      <c r="E95" s="130"/>
      <c r="F95" s="130"/>
      <c r="G95" s="130"/>
      <c r="H95" s="130"/>
      <c r="I95" s="136">
        <v>6511.65</v>
      </c>
      <c r="J95" s="136">
        <v>6511.65</v>
      </c>
      <c r="K95" s="136">
        <v>6511.65</v>
      </c>
      <c r="L95" s="136">
        <v>6511.65</v>
      </c>
      <c r="M95" s="136">
        <v>6511.65</v>
      </c>
      <c r="N95" s="136">
        <v>6511.65</v>
      </c>
      <c r="O95" s="105">
        <f t="shared" si="24"/>
        <v>39069.9</v>
      </c>
    </row>
    <row r="96" spans="1:16" ht="20.25" hidden="1" customHeight="1">
      <c r="A96" s="65" t="s">
        <v>122</v>
      </c>
      <c r="B96" s="49"/>
      <c r="C96" s="130">
        <v>3300</v>
      </c>
      <c r="D96" s="130">
        <v>3300</v>
      </c>
      <c r="E96" s="130">
        <v>3300</v>
      </c>
      <c r="F96" s="130">
        <v>3300</v>
      </c>
      <c r="G96" s="130">
        <v>3300</v>
      </c>
      <c r="H96" s="130">
        <v>3300</v>
      </c>
      <c r="I96" s="136">
        <v>6511.65</v>
      </c>
      <c r="J96" s="136">
        <v>6511.65</v>
      </c>
      <c r="K96" s="136">
        <v>6511.65</v>
      </c>
      <c r="L96" s="136">
        <v>6511.65</v>
      </c>
      <c r="M96" s="136">
        <v>6511.65</v>
      </c>
      <c r="N96" s="136">
        <v>6511.65</v>
      </c>
      <c r="O96" s="105">
        <f t="shared" si="24"/>
        <v>58869.900000000009</v>
      </c>
    </row>
    <row r="97" spans="1:15" ht="20.25" hidden="1" customHeight="1">
      <c r="A97" s="47" t="s">
        <v>123</v>
      </c>
      <c r="B97" s="94" t="s">
        <v>124</v>
      </c>
      <c r="C97" s="130">
        <v>41354.959999999999</v>
      </c>
      <c r="D97" s="130">
        <v>42530.38</v>
      </c>
      <c r="E97" s="130">
        <v>37414.019999999997</v>
      </c>
      <c r="F97" s="130">
        <v>42530.38</v>
      </c>
      <c r="G97" s="130">
        <v>42530.38</v>
      </c>
      <c r="H97" s="130">
        <v>42530.38</v>
      </c>
      <c r="I97" s="130">
        <v>42530.38</v>
      </c>
      <c r="J97" s="130">
        <v>42530.38</v>
      </c>
      <c r="K97" s="130">
        <v>42530.38</v>
      </c>
      <c r="L97" s="130">
        <v>42530.38</v>
      </c>
      <c r="M97" s="130">
        <v>42530.38</v>
      </c>
      <c r="N97" s="130">
        <v>42530.38</v>
      </c>
      <c r="O97" s="105">
        <f t="shared" si="24"/>
        <v>504072.78</v>
      </c>
    </row>
    <row r="98" spans="1:15" ht="20.25" hidden="1" customHeight="1">
      <c r="A98" s="47" t="s">
        <v>125</v>
      </c>
      <c r="B98" s="103" t="s">
        <v>126</v>
      </c>
      <c r="C98" s="130">
        <v>35036.800000000003</v>
      </c>
      <c r="D98" s="130">
        <v>35468.800000000003</v>
      </c>
      <c r="E98" s="130">
        <v>35036.800000000003</v>
      </c>
      <c r="F98" s="130">
        <v>35468.800000000003</v>
      </c>
      <c r="G98" s="130">
        <v>35468.800000000003</v>
      </c>
      <c r="H98" s="130">
        <v>35468.800000000003</v>
      </c>
      <c r="I98" s="130">
        <v>35468.800000000003</v>
      </c>
      <c r="J98" s="130">
        <v>35468.800000000003</v>
      </c>
      <c r="K98" s="130">
        <v>35468.800000000003</v>
      </c>
      <c r="L98" s="130">
        <v>35468.800000000003</v>
      </c>
      <c r="M98" s="130">
        <v>35468.800000000003</v>
      </c>
      <c r="N98" s="130">
        <v>35468.800000000003</v>
      </c>
      <c r="O98" s="105">
        <f t="shared" si="24"/>
        <v>424761.59999999992</v>
      </c>
    </row>
    <row r="99" spans="1:15" ht="20.25" hidden="1" customHeight="1">
      <c r="A99" s="47" t="s">
        <v>1007</v>
      </c>
      <c r="B99" s="103" t="s">
        <v>81</v>
      </c>
      <c r="C99" s="130">
        <v>1350</v>
      </c>
      <c r="D99" s="130">
        <v>1350</v>
      </c>
      <c r="E99" s="130">
        <v>1350</v>
      </c>
      <c r="F99" s="130">
        <v>1377</v>
      </c>
      <c r="G99" s="130">
        <v>1377</v>
      </c>
      <c r="H99" s="130">
        <v>1377</v>
      </c>
      <c r="I99" s="130">
        <v>1377</v>
      </c>
      <c r="J99" s="130">
        <v>1377</v>
      </c>
      <c r="K99" s="130">
        <v>1377</v>
      </c>
      <c r="L99" s="130">
        <v>1377</v>
      </c>
      <c r="M99" s="130">
        <v>1377</v>
      </c>
      <c r="N99" s="130">
        <v>1377</v>
      </c>
      <c r="O99" s="105">
        <f t="shared" si="24"/>
        <v>16443</v>
      </c>
    </row>
    <row r="100" spans="1:15" ht="20.25" hidden="1" customHeight="1">
      <c r="A100" s="47" t="s">
        <v>1008</v>
      </c>
      <c r="B100" s="103"/>
      <c r="C100" s="130">
        <v>16000</v>
      </c>
      <c r="D100" s="131">
        <v>0</v>
      </c>
      <c r="E100" s="130">
        <v>0</v>
      </c>
      <c r="F100" s="130">
        <v>0</v>
      </c>
      <c r="G100" s="130">
        <v>0</v>
      </c>
      <c r="H100" s="130">
        <v>0</v>
      </c>
      <c r="I100" s="130">
        <v>0</v>
      </c>
      <c r="J100" s="130">
        <v>0</v>
      </c>
      <c r="K100" s="130">
        <v>0</v>
      </c>
      <c r="L100" s="130">
        <v>0</v>
      </c>
      <c r="M100" s="130">
        <v>0</v>
      </c>
      <c r="N100" s="130"/>
      <c r="O100" s="105">
        <f t="shared" si="24"/>
        <v>16000</v>
      </c>
    </row>
    <row r="101" spans="1:15" ht="20.25" hidden="1" customHeight="1">
      <c r="A101" s="47" t="s">
        <v>128</v>
      </c>
      <c r="B101" s="95"/>
      <c r="C101" s="131">
        <v>0</v>
      </c>
      <c r="D101" s="131">
        <v>0</v>
      </c>
      <c r="E101" s="130">
        <v>0</v>
      </c>
      <c r="F101" s="130">
        <v>3000</v>
      </c>
      <c r="G101" s="130">
        <v>3000</v>
      </c>
      <c r="H101" s="130">
        <v>3000</v>
      </c>
      <c r="I101" s="130">
        <v>3000</v>
      </c>
      <c r="J101" s="130">
        <v>3000</v>
      </c>
      <c r="K101" s="130">
        <v>3000</v>
      </c>
      <c r="L101" s="130">
        <v>3000</v>
      </c>
      <c r="M101" s="130">
        <v>3000</v>
      </c>
      <c r="N101" s="130">
        <v>3000</v>
      </c>
      <c r="O101" s="105">
        <f t="shared" si="24"/>
        <v>27000</v>
      </c>
    </row>
    <row r="102" spans="1:15" ht="20.25" hidden="1" customHeight="1">
      <c r="A102" s="47" t="s">
        <v>129</v>
      </c>
      <c r="B102" s="95"/>
      <c r="C102" s="130">
        <v>4250</v>
      </c>
      <c r="D102" s="130">
        <v>1743.56</v>
      </c>
      <c r="E102" s="130">
        <v>74807.009999999995</v>
      </c>
      <c r="F102" s="130">
        <v>10000</v>
      </c>
      <c r="G102" s="130">
        <v>10000</v>
      </c>
      <c r="H102" s="130">
        <v>10000</v>
      </c>
      <c r="I102" s="130">
        <v>10000</v>
      </c>
      <c r="J102" s="130">
        <v>10000</v>
      </c>
      <c r="K102" s="130">
        <v>10000</v>
      </c>
      <c r="L102" s="130">
        <v>10000</v>
      </c>
      <c r="M102" s="130">
        <v>10000</v>
      </c>
      <c r="N102" s="130">
        <v>10000</v>
      </c>
      <c r="O102" s="105">
        <f t="shared" si="24"/>
        <v>170800.57</v>
      </c>
    </row>
    <row r="103" spans="1:15" ht="20.25" hidden="1" customHeight="1">
      <c r="A103" s="47" t="s">
        <v>132</v>
      </c>
      <c r="B103" s="103" t="s">
        <v>1009</v>
      </c>
      <c r="C103" s="130">
        <v>5073.4799999999996</v>
      </c>
      <c r="D103" s="130">
        <v>5554.96</v>
      </c>
      <c r="E103" s="130">
        <f t="shared" ref="E103:N103" si="25">D103</f>
        <v>5554.96</v>
      </c>
      <c r="F103" s="130">
        <f t="shared" si="25"/>
        <v>5554.96</v>
      </c>
      <c r="G103" s="130">
        <f t="shared" si="25"/>
        <v>5554.96</v>
      </c>
      <c r="H103" s="130">
        <f t="shared" si="25"/>
        <v>5554.96</v>
      </c>
      <c r="I103" s="130">
        <f t="shared" si="25"/>
        <v>5554.96</v>
      </c>
      <c r="J103" s="130">
        <f t="shared" si="25"/>
        <v>5554.96</v>
      </c>
      <c r="K103" s="130">
        <f t="shared" si="25"/>
        <v>5554.96</v>
      </c>
      <c r="L103" s="130">
        <f t="shared" si="25"/>
        <v>5554.96</v>
      </c>
      <c r="M103" s="130">
        <f t="shared" si="25"/>
        <v>5554.96</v>
      </c>
      <c r="N103" s="130">
        <f t="shared" si="25"/>
        <v>5554.96</v>
      </c>
      <c r="O103" s="105">
        <f t="shared" si="24"/>
        <v>66178.039999999994</v>
      </c>
    </row>
    <row r="104" spans="1:15" ht="20.25" hidden="1" customHeight="1">
      <c r="A104" s="47" t="s">
        <v>1010</v>
      </c>
      <c r="B104" s="104"/>
      <c r="C104" s="131">
        <v>0</v>
      </c>
      <c r="D104" s="131"/>
      <c r="E104" s="130">
        <v>0</v>
      </c>
      <c r="F104" s="130">
        <v>70200</v>
      </c>
      <c r="G104" s="130"/>
      <c r="H104" s="130"/>
      <c r="I104" s="130"/>
      <c r="J104" s="130"/>
      <c r="K104" s="130"/>
      <c r="L104" s="130"/>
      <c r="M104" s="130"/>
      <c r="N104" s="130"/>
      <c r="O104" s="105">
        <f t="shared" si="24"/>
        <v>70200</v>
      </c>
    </row>
    <row r="105" spans="1:15" ht="20.25" hidden="1" customHeight="1">
      <c r="A105" s="47" t="s">
        <v>135</v>
      </c>
      <c r="B105" s="94" t="s">
        <v>136</v>
      </c>
      <c r="C105" s="130">
        <v>8500</v>
      </c>
      <c r="D105" s="130">
        <f t="shared" ref="D105:N105" si="26">C105</f>
        <v>8500</v>
      </c>
      <c r="E105" s="130">
        <f t="shared" si="26"/>
        <v>8500</v>
      </c>
      <c r="F105" s="130">
        <f t="shared" si="26"/>
        <v>8500</v>
      </c>
      <c r="G105" s="130">
        <f t="shared" si="26"/>
        <v>8500</v>
      </c>
      <c r="H105" s="130">
        <f t="shared" si="26"/>
        <v>8500</v>
      </c>
      <c r="I105" s="130">
        <v>10000</v>
      </c>
      <c r="J105" s="130">
        <f t="shared" si="26"/>
        <v>10000</v>
      </c>
      <c r="K105" s="130">
        <f t="shared" si="26"/>
        <v>10000</v>
      </c>
      <c r="L105" s="130">
        <f t="shared" si="26"/>
        <v>10000</v>
      </c>
      <c r="M105" s="130">
        <f t="shared" si="26"/>
        <v>10000</v>
      </c>
      <c r="N105" s="130">
        <f t="shared" si="26"/>
        <v>10000</v>
      </c>
      <c r="O105" s="105">
        <f t="shared" si="24"/>
        <v>111000</v>
      </c>
    </row>
    <row r="106" spans="1:15" ht="20.25" hidden="1" customHeight="1">
      <c r="A106" s="47" t="s">
        <v>137</v>
      </c>
      <c r="B106" s="100" t="s">
        <v>138</v>
      </c>
      <c r="C106" s="130">
        <v>2821.41</v>
      </c>
      <c r="D106" s="130">
        <v>944</v>
      </c>
      <c r="E106" s="130">
        <v>3186</v>
      </c>
      <c r="F106" s="130">
        <v>22066</v>
      </c>
      <c r="G106" s="130">
        <v>13098</v>
      </c>
      <c r="H106" s="130">
        <v>0</v>
      </c>
      <c r="I106" s="130">
        <v>0</v>
      </c>
      <c r="J106" s="130">
        <v>0</v>
      </c>
      <c r="K106" s="130">
        <v>0</v>
      </c>
      <c r="L106" s="130">
        <v>0</v>
      </c>
      <c r="M106" s="130">
        <v>0</v>
      </c>
      <c r="N106" s="130">
        <v>0</v>
      </c>
      <c r="O106" s="105">
        <f t="shared" si="24"/>
        <v>42115.41</v>
      </c>
    </row>
    <row r="107" spans="1:15" ht="20.25" hidden="1" customHeight="1">
      <c r="A107" s="47" t="s">
        <v>1011</v>
      </c>
      <c r="B107" s="100" t="s">
        <v>140</v>
      </c>
      <c r="C107" s="130">
        <v>9000</v>
      </c>
      <c r="D107" s="130">
        <f t="shared" ref="D107:J107" si="27">C107</f>
        <v>9000</v>
      </c>
      <c r="E107" s="130">
        <f t="shared" si="27"/>
        <v>9000</v>
      </c>
      <c r="F107" s="130">
        <f t="shared" si="27"/>
        <v>9000</v>
      </c>
      <c r="G107" s="130">
        <f t="shared" si="27"/>
        <v>9000</v>
      </c>
      <c r="H107" s="130">
        <f t="shared" si="27"/>
        <v>9000</v>
      </c>
      <c r="I107" s="130">
        <f t="shared" si="27"/>
        <v>9000</v>
      </c>
      <c r="J107" s="130">
        <f t="shared" si="27"/>
        <v>9000</v>
      </c>
      <c r="K107" s="130">
        <v>9180</v>
      </c>
      <c r="L107" s="130">
        <f>K107</f>
        <v>9180</v>
      </c>
      <c r="M107" s="130">
        <f>L107</f>
        <v>9180</v>
      </c>
      <c r="N107" s="130">
        <f>M107</f>
        <v>9180</v>
      </c>
      <c r="O107" s="105">
        <f t="shared" si="24"/>
        <v>108720</v>
      </c>
    </row>
    <row r="108" spans="1:15" ht="20.25" hidden="1" customHeight="1">
      <c r="A108" s="47" t="s">
        <v>143</v>
      </c>
      <c r="B108" s="100" t="s">
        <v>67</v>
      </c>
      <c r="C108" s="130">
        <v>562.48</v>
      </c>
      <c r="D108" s="130">
        <v>562.48</v>
      </c>
      <c r="E108" s="130">
        <v>562.48</v>
      </c>
      <c r="F108" s="130">
        <v>562.48</v>
      </c>
      <c r="G108" s="130">
        <v>562.48</v>
      </c>
      <c r="H108" s="130">
        <v>562.48</v>
      </c>
      <c r="I108" s="130">
        <v>562.48</v>
      </c>
      <c r="J108" s="130">
        <v>562.48</v>
      </c>
      <c r="K108" s="130">
        <v>562.48</v>
      </c>
      <c r="L108" s="130">
        <v>562.48</v>
      </c>
      <c r="M108" s="130">
        <v>562.48</v>
      </c>
      <c r="N108" s="130">
        <v>562.48</v>
      </c>
      <c r="O108" s="105">
        <f t="shared" si="24"/>
        <v>6749.7599999999984</v>
      </c>
    </row>
    <row r="109" spans="1:15" ht="20.25" hidden="1" customHeight="1">
      <c r="A109" s="47" t="s">
        <v>144</v>
      </c>
      <c r="B109" s="100" t="s">
        <v>145</v>
      </c>
      <c r="C109" s="130">
        <v>23627.93</v>
      </c>
      <c r="D109" s="130">
        <v>28303.65</v>
      </c>
      <c r="E109" s="130">
        <v>24597.1</v>
      </c>
      <c r="F109" s="130">
        <v>24515</v>
      </c>
      <c r="G109" s="130">
        <v>24515</v>
      </c>
      <c r="H109" s="130">
        <v>24515</v>
      </c>
      <c r="I109" s="130">
        <v>24515</v>
      </c>
      <c r="J109" s="130">
        <v>24515</v>
      </c>
      <c r="K109" s="130">
        <v>24515</v>
      </c>
      <c r="L109" s="130">
        <v>24515</v>
      </c>
      <c r="M109" s="130">
        <v>24515</v>
      </c>
      <c r="N109" s="130">
        <v>24515</v>
      </c>
      <c r="O109" s="105">
        <f t="shared" si="24"/>
        <v>297163.68</v>
      </c>
    </row>
    <row r="110" spans="1:15" ht="20.25" hidden="1" customHeight="1">
      <c r="A110" s="47" t="s">
        <v>1012</v>
      </c>
      <c r="B110" s="100" t="s">
        <v>1013</v>
      </c>
      <c r="C110" s="130">
        <v>11148.06</v>
      </c>
      <c r="D110" s="130">
        <v>11115.69</v>
      </c>
      <c r="E110" s="130">
        <v>11115.69</v>
      </c>
      <c r="F110" s="130">
        <v>11115.69</v>
      </c>
      <c r="G110" s="130">
        <v>11115.69</v>
      </c>
      <c r="H110" s="130">
        <v>11115.69</v>
      </c>
      <c r="I110" s="130">
        <v>11115.69</v>
      </c>
      <c r="J110" s="130">
        <v>11115.69</v>
      </c>
      <c r="K110" s="130">
        <v>11115.69</v>
      </c>
      <c r="L110" s="130">
        <v>11115.69</v>
      </c>
      <c r="M110" s="130">
        <v>11115.69</v>
      </c>
      <c r="N110" s="130">
        <v>11115.69</v>
      </c>
      <c r="O110" s="105">
        <f t="shared" si="24"/>
        <v>133420.65000000002</v>
      </c>
    </row>
    <row r="111" spans="1:15" ht="20.25" hidden="1" customHeight="1">
      <c r="A111" s="47" t="s">
        <v>148</v>
      </c>
      <c r="B111" s="100" t="s">
        <v>149</v>
      </c>
      <c r="C111" s="130">
        <f t="shared" ref="C111:H111" si="28">1311.3</f>
        <v>1311.3</v>
      </c>
      <c r="D111" s="130">
        <f t="shared" si="28"/>
        <v>1311.3</v>
      </c>
      <c r="E111" s="130">
        <f t="shared" si="28"/>
        <v>1311.3</v>
      </c>
      <c r="F111" s="130">
        <f t="shared" si="28"/>
        <v>1311.3</v>
      </c>
      <c r="G111" s="130">
        <f t="shared" si="28"/>
        <v>1311.3</v>
      </c>
      <c r="H111" s="130">
        <f t="shared" si="28"/>
        <v>1311.3</v>
      </c>
      <c r="I111" s="130">
        <v>1337.53</v>
      </c>
      <c r="J111" s="130">
        <v>1337.53</v>
      </c>
      <c r="K111" s="130">
        <v>1337.53</v>
      </c>
      <c r="L111" s="130">
        <v>1337.53</v>
      </c>
      <c r="M111" s="130">
        <v>1337.53</v>
      </c>
      <c r="N111" s="130">
        <v>1337.53</v>
      </c>
      <c r="O111" s="105">
        <f t="shared" si="24"/>
        <v>15892.980000000003</v>
      </c>
    </row>
    <row r="112" spans="1:15" ht="20.25" hidden="1" customHeight="1">
      <c r="A112" s="47" t="s">
        <v>1014</v>
      </c>
      <c r="B112" s="100"/>
      <c r="C112" s="131">
        <v>0</v>
      </c>
      <c r="D112" s="131">
        <v>0</v>
      </c>
      <c r="E112" s="130">
        <v>15767.44</v>
      </c>
      <c r="F112" s="130">
        <v>15767.44</v>
      </c>
      <c r="G112" s="130">
        <v>15767.44</v>
      </c>
      <c r="H112" s="130">
        <v>15767.45</v>
      </c>
      <c r="I112" s="130"/>
      <c r="J112" s="130"/>
      <c r="K112" s="130"/>
      <c r="L112" s="130"/>
      <c r="M112" s="130"/>
      <c r="N112" s="130"/>
      <c r="O112" s="105">
        <f t="shared" si="24"/>
        <v>63069.770000000004</v>
      </c>
    </row>
    <row r="113" spans="1:16" ht="20.25" hidden="1" customHeight="1">
      <c r="A113" s="47" t="s">
        <v>1015</v>
      </c>
      <c r="B113" s="93" t="s">
        <v>987</v>
      </c>
      <c r="C113" s="132"/>
      <c r="D113" s="132"/>
      <c r="E113" s="130"/>
      <c r="F113" s="130"/>
      <c r="G113" s="130">
        <v>100000</v>
      </c>
      <c r="H113" s="130">
        <v>100000</v>
      </c>
      <c r="I113" s="130"/>
      <c r="J113" s="130"/>
      <c r="K113" s="130"/>
      <c r="L113" s="130"/>
      <c r="M113" s="130"/>
      <c r="N113" s="130"/>
      <c r="O113" s="105">
        <f t="shared" si="24"/>
        <v>200000</v>
      </c>
    </row>
    <row r="114" spans="1:16" ht="20.25" hidden="1" customHeight="1">
      <c r="A114" s="47" t="s">
        <v>1016</v>
      </c>
      <c r="B114" s="93" t="s">
        <v>987</v>
      </c>
      <c r="C114" s="132"/>
      <c r="D114" s="132"/>
      <c r="E114" s="130"/>
      <c r="F114" s="130"/>
      <c r="G114" s="130">
        <v>30000</v>
      </c>
      <c r="H114" s="130">
        <v>70000</v>
      </c>
      <c r="I114" s="130"/>
      <c r="J114" s="130"/>
      <c r="K114" s="130"/>
      <c r="L114" s="130"/>
      <c r="M114" s="130"/>
      <c r="N114" s="130"/>
      <c r="O114" s="105">
        <f t="shared" si="24"/>
        <v>100000</v>
      </c>
    </row>
    <row r="115" spans="1:16" ht="20.25" hidden="1" customHeight="1">
      <c r="A115" s="47" t="s">
        <v>1017</v>
      </c>
      <c r="B115" s="93" t="s">
        <v>987</v>
      </c>
      <c r="C115" s="132"/>
      <c r="D115" s="132"/>
      <c r="E115" s="130"/>
      <c r="F115" s="130">
        <v>30000</v>
      </c>
      <c r="G115" s="130">
        <v>30000</v>
      </c>
      <c r="H115" s="130"/>
      <c r="I115" s="130"/>
      <c r="J115" s="130"/>
      <c r="K115" s="130"/>
      <c r="L115" s="130"/>
      <c r="M115" s="130"/>
      <c r="N115" s="130"/>
      <c r="O115" s="105">
        <f t="shared" si="24"/>
        <v>60000</v>
      </c>
    </row>
    <row r="116" spans="1:16" ht="20.25" hidden="1" customHeight="1">
      <c r="A116" s="47" t="s">
        <v>1018</v>
      </c>
      <c r="B116" s="93" t="s">
        <v>987</v>
      </c>
      <c r="C116" s="132"/>
      <c r="D116" s="132"/>
      <c r="E116" s="130"/>
      <c r="F116" s="130"/>
      <c r="G116" s="130"/>
      <c r="H116" s="130"/>
      <c r="I116" s="130">
        <v>12000</v>
      </c>
      <c r="J116" s="130"/>
      <c r="K116" s="130"/>
      <c r="L116" s="130"/>
      <c r="M116" s="130"/>
      <c r="N116" s="130"/>
      <c r="O116" s="105">
        <f t="shared" si="24"/>
        <v>12000</v>
      </c>
    </row>
    <row r="117" spans="1:16" ht="20.25" hidden="1" customHeight="1">
      <c r="B117" s="100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43">
        <f t="shared" si="24"/>
        <v>0</v>
      </c>
    </row>
    <row r="118" spans="1:16" ht="20.25" hidden="1" customHeight="1">
      <c r="A118" s="64" t="s">
        <v>151</v>
      </c>
      <c r="B118" s="7"/>
      <c r="C118" s="106">
        <f t="shared" ref="C118:O118" si="29">SUM(C91:C117)</f>
        <v>186636.41999999998</v>
      </c>
      <c r="D118" s="106">
        <f t="shared" si="29"/>
        <v>178624.82</v>
      </c>
      <c r="E118" s="106">
        <f t="shared" si="29"/>
        <v>244802.80000000002</v>
      </c>
      <c r="F118" s="106">
        <f t="shared" si="29"/>
        <v>307769.05</v>
      </c>
      <c r="G118" s="106">
        <f t="shared" si="29"/>
        <v>358601.05000000005</v>
      </c>
      <c r="H118" s="106">
        <f t="shared" si="29"/>
        <v>355503.06000000006</v>
      </c>
      <c r="I118" s="106">
        <f t="shared" si="29"/>
        <v>204878.99000000002</v>
      </c>
      <c r="J118" s="106">
        <f t="shared" si="29"/>
        <v>192878.99000000002</v>
      </c>
      <c r="K118" s="106">
        <f t="shared" si="29"/>
        <v>193058.99000000002</v>
      </c>
      <c r="L118" s="106">
        <f t="shared" si="29"/>
        <v>193058.99000000002</v>
      </c>
      <c r="M118" s="106">
        <f t="shared" si="29"/>
        <v>193058.99000000002</v>
      </c>
      <c r="N118" s="106">
        <f t="shared" si="29"/>
        <v>193058.99000000002</v>
      </c>
      <c r="O118" s="106">
        <f t="shared" si="29"/>
        <v>2801931.14</v>
      </c>
      <c r="P118" s="14"/>
    </row>
    <row r="119" spans="1:16" ht="26.65" hidden="1" customHeight="1">
      <c r="A119" s="63" t="s">
        <v>152</v>
      </c>
      <c r="B119" s="63"/>
      <c r="C119" s="78" t="str">
        <f t="shared" ref="C119:N119" si="30">C90</f>
        <v>Janeiro</v>
      </c>
      <c r="D119" s="78" t="str">
        <f t="shared" si="30"/>
        <v>Fevereiro</v>
      </c>
      <c r="E119" s="78" t="str">
        <f t="shared" si="30"/>
        <v xml:space="preserve">Março </v>
      </c>
      <c r="F119" s="78" t="str">
        <f t="shared" si="30"/>
        <v>Abril</v>
      </c>
      <c r="G119" s="78" t="str">
        <f t="shared" si="30"/>
        <v>Maio</v>
      </c>
      <c r="H119" s="78" t="str">
        <f t="shared" si="30"/>
        <v>Junho</v>
      </c>
      <c r="I119" s="78" t="str">
        <f t="shared" si="30"/>
        <v>Julho</v>
      </c>
      <c r="J119" s="78" t="str">
        <f t="shared" si="30"/>
        <v>Agosto</v>
      </c>
      <c r="K119" s="78" t="str">
        <f t="shared" si="30"/>
        <v>Setembro</v>
      </c>
      <c r="L119" s="78" t="str">
        <f t="shared" si="30"/>
        <v>Outubro</v>
      </c>
      <c r="M119" s="78" t="str">
        <f t="shared" si="30"/>
        <v>Novembro</v>
      </c>
      <c r="N119" s="78" t="str">
        <f t="shared" si="30"/>
        <v>Dezembro</v>
      </c>
      <c r="O119" s="40" t="str">
        <f>O64</f>
        <v xml:space="preserve">TOTAL </v>
      </c>
    </row>
    <row r="120" spans="1:16" ht="20.25" hidden="1" customHeight="1">
      <c r="A120" s="47" t="s">
        <v>153</v>
      </c>
      <c r="B120" s="4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05">
        <f>SUM(C120+D120+E120+F120+G120+H120+I120+J120+K120+L120+M120+N120)</f>
        <v>0</v>
      </c>
    </row>
    <row r="121" spans="1:16" ht="20.25" hidden="1" customHeight="1">
      <c r="A121" s="47" t="s">
        <v>154</v>
      </c>
      <c r="B121" s="4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05">
        <f>SUM(C121+D121+E121+F121+G121+H121+I121+J121+K121+L121+M121+N121)</f>
        <v>0</v>
      </c>
    </row>
    <row r="122" spans="1:16" ht="20.25" hidden="1" customHeight="1">
      <c r="A122" s="47" t="s">
        <v>155</v>
      </c>
      <c r="B122" s="4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5">
        <f>SUM(C122+D122+E122+F122+G122+H122+I122+J122+K122+L122+M122+N122)</f>
        <v>0</v>
      </c>
    </row>
    <row r="123" spans="1:16" ht="20.25" hidden="1" customHeight="1">
      <c r="A123" s="47" t="s">
        <v>156</v>
      </c>
      <c r="B123" s="47"/>
      <c r="C123" s="130"/>
      <c r="D123" s="130"/>
      <c r="E123" s="130"/>
      <c r="F123" s="130"/>
      <c r="G123" s="130"/>
      <c r="H123" s="130"/>
      <c r="I123" s="130">
        <v>2000</v>
      </c>
      <c r="J123" s="130"/>
      <c r="K123" s="130"/>
      <c r="L123" s="130"/>
      <c r="M123" s="130"/>
      <c r="N123" s="130"/>
      <c r="O123" s="105">
        <f t="shared" ref="O123:O142" si="31">SUM(C123:N123)</f>
        <v>2000</v>
      </c>
    </row>
    <row r="124" spans="1:16" ht="20.25" hidden="1" customHeight="1">
      <c r="A124" s="47" t="s">
        <v>157</v>
      </c>
      <c r="B124" s="47"/>
      <c r="C124" s="130">
        <v>1946.87</v>
      </c>
      <c r="D124" s="130">
        <v>1398.67</v>
      </c>
      <c r="E124" s="130">
        <v>130.18</v>
      </c>
      <c r="F124" s="130">
        <v>1350</v>
      </c>
      <c r="G124" s="130">
        <v>1350</v>
      </c>
      <c r="H124" s="130">
        <v>1350</v>
      </c>
      <c r="I124" s="130">
        <v>1350</v>
      </c>
      <c r="J124" s="130">
        <v>1350</v>
      </c>
      <c r="K124" s="130">
        <v>1350</v>
      </c>
      <c r="L124" s="130">
        <v>1350</v>
      </c>
      <c r="M124" s="130">
        <v>1350</v>
      </c>
      <c r="N124" s="130">
        <v>1350</v>
      </c>
      <c r="O124" s="105">
        <f t="shared" si="31"/>
        <v>15625.72</v>
      </c>
    </row>
    <row r="125" spans="1:16" ht="20.25" hidden="1" customHeight="1">
      <c r="A125" s="47" t="s">
        <v>158</v>
      </c>
      <c r="B125" s="47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>
        <v>300</v>
      </c>
      <c r="N125" s="130"/>
      <c r="O125" s="105">
        <f t="shared" si="31"/>
        <v>300</v>
      </c>
    </row>
    <row r="126" spans="1:16" ht="20.25" hidden="1" customHeight="1">
      <c r="A126" s="47" t="s">
        <v>159</v>
      </c>
      <c r="B126" s="47"/>
      <c r="C126" s="130"/>
      <c r="D126" s="130"/>
      <c r="E126" s="130"/>
      <c r="F126" s="130"/>
      <c r="G126" s="130"/>
      <c r="H126" s="130"/>
      <c r="I126" s="130"/>
      <c r="J126" s="130">
        <v>7000</v>
      </c>
      <c r="K126" s="130"/>
      <c r="L126" s="130"/>
      <c r="M126" s="130"/>
      <c r="N126" s="130"/>
      <c r="O126" s="105">
        <f t="shared" si="31"/>
        <v>7000</v>
      </c>
    </row>
    <row r="127" spans="1:16" ht="20.25" hidden="1" customHeight="1">
      <c r="A127" s="47" t="s">
        <v>657</v>
      </c>
      <c r="B127" s="47"/>
      <c r="C127" s="130"/>
      <c r="D127" s="130"/>
      <c r="E127" s="130"/>
      <c r="F127" s="130">
        <v>300</v>
      </c>
      <c r="G127" s="130"/>
      <c r="H127" s="130"/>
      <c r="I127" s="130">
        <v>0</v>
      </c>
      <c r="J127" s="130"/>
      <c r="K127" s="130"/>
      <c r="L127" s="130"/>
      <c r="M127" s="130"/>
      <c r="N127" s="130"/>
      <c r="O127" s="105">
        <f t="shared" si="31"/>
        <v>300</v>
      </c>
    </row>
    <row r="128" spans="1:16" ht="20.25" hidden="1" customHeight="1">
      <c r="A128" s="47" t="s">
        <v>161</v>
      </c>
      <c r="B128" s="47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>
        <v>0</v>
      </c>
      <c r="O128" s="105">
        <f t="shared" si="31"/>
        <v>0</v>
      </c>
    </row>
    <row r="129" spans="1:15" ht="20.25" hidden="1" customHeight="1">
      <c r="A129" s="47" t="s">
        <v>162</v>
      </c>
      <c r="B129" s="47"/>
      <c r="C129" s="130">
        <v>56.1</v>
      </c>
      <c r="D129" s="130">
        <v>0</v>
      </c>
      <c r="E129" s="130">
        <v>0</v>
      </c>
      <c r="F129" s="130">
        <v>1330</v>
      </c>
      <c r="G129" s="130">
        <v>1330</v>
      </c>
      <c r="H129" s="130">
        <v>1330</v>
      </c>
      <c r="I129" s="130">
        <v>1330</v>
      </c>
      <c r="J129" s="130">
        <v>1330</v>
      </c>
      <c r="K129" s="130">
        <v>1330</v>
      </c>
      <c r="L129" s="130">
        <v>1330</v>
      </c>
      <c r="M129" s="130">
        <v>1330</v>
      </c>
      <c r="N129" s="130">
        <v>1330</v>
      </c>
      <c r="O129" s="105">
        <f t="shared" si="31"/>
        <v>12026.1</v>
      </c>
    </row>
    <row r="130" spans="1:15" ht="20.25" hidden="1" customHeight="1">
      <c r="A130" s="47" t="s">
        <v>163</v>
      </c>
      <c r="B130" s="47"/>
      <c r="C130" s="130"/>
      <c r="D130" s="130"/>
      <c r="E130" s="130"/>
      <c r="F130" s="130"/>
      <c r="G130" s="130">
        <v>2000</v>
      </c>
      <c r="H130" s="130"/>
      <c r="I130" s="130"/>
      <c r="J130" s="130"/>
      <c r="K130" s="130"/>
      <c r="L130" s="130"/>
      <c r="M130" s="130"/>
      <c r="N130" s="130"/>
      <c r="O130" s="105">
        <f t="shared" si="31"/>
        <v>2000</v>
      </c>
    </row>
    <row r="131" spans="1:15" ht="20.25" hidden="1" customHeight="1">
      <c r="A131" s="47" t="s">
        <v>164</v>
      </c>
      <c r="B131" s="47"/>
      <c r="C131" s="130"/>
      <c r="D131" s="130"/>
      <c r="E131" s="130"/>
      <c r="F131" s="130"/>
      <c r="G131" s="130"/>
      <c r="H131" s="130"/>
      <c r="I131" s="130"/>
      <c r="J131" s="130">
        <v>2000</v>
      </c>
      <c r="K131" s="130"/>
      <c r="L131" s="130"/>
      <c r="M131" s="130"/>
      <c r="N131" s="130"/>
      <c r="O131" s="105">
        <f t="shared" si="31"/>
        <v>2000</v>
      </c>
    </row>
    <row r="132" spans="1:15" ht="20.25" hidden="1" customHeight="1">
      <c r="A132" s="47" t="s">
        <v>165</v>
      </c>
      <c r="B132" s="47"/>
      <c r="C132" s="130"/>
      <c r="D132" s="130"/>
      <c r="E132" s="130">
        <v>158.03</v>
      </c>
      <c r="F132" s="130"/>
      <c r="G132" s="130"/>
      <c r="H132" s="130"/>
      <c r="I132" s="130"/>
      <c r="J132" s="130"/>
      <c r="K132" s="130"/>
      <c r="L132" s="130"/>
      <c r="M132" s="130"/>
      <c r="N132" s="130"/>
      <c r="O132" s="105">
        <f t="shared" si="31"/>
        <v>158.03</v>
      </c>
    </row>
    <row r="133" spans="1:15" ht="20.25" hidden="1" customHeight="1">
      <c r="A133" s="47" t="s">
        <v>166</v>
      </c>
      <c r="B133" s="47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05">
        <f t="shared" si="31"/>
        <v>0</v>
      </c>
    </row>
    <row r="134" spans="1:15" ht="20.25" hidden="1" customHeight="1">
      <c r="A134" s="47" t="s">
        <v>167</v>
      </c>
      <c r="B134" s="47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05">
        <f t="shared" si="31"/>
        <v>0</v>
      </c>
    </row>
    <row r="135" spans="1:15" ht="20.25" hidden="1" customHeight="1">
      <c r="A135" s="47" t="s">
        <v>168</v>
      </c>
      <c r="B135" s="47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05">
        <f t="shared" si="31"/>
        <v>0</v>
      </c>
    </row>
    <row r="136" spans="1:15" ht="20.25" hidden="1" customHeight="1">
      <c r="A136" s="47" t="s">
        <v>1019</v>
      </c>
      <c r="B136" s="47"/>
      <c r="C136" s="130"/>
      <c r="D136" s="130"/>
      <c r="E136" s="130"/>
      <c r="F136" s="130"/>
      <c r="G136" s="130"/>
      <c r="H136" s="130"/>
      <c r="I136" s="130">
        <v>500</v>
      </c>
      <c r="J136" s="130"/>
      <c r="K136" s="130"/>
      <c r="L136" s="130"/>
      <c r="M136" s="130"/>
      <c r="N136" s="130"/>
      <c r="O136" s="105">
        <f t="shared" si="31"/>
        <v>500</v>
      </c>
    </row>
    <row r="137" spans="1:15" ht="20.25" hidden="1" customHeight="1">
      <c r="A137" s="47" t="s">
        <v>169</v>
      </c>
      <c r="B137" s="47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>
        <v>0</v>
      </c>
      <c r="M137" s="130">
        <v>300</v>
      </c>
      <c r="N137" s="130"/>
      <c r="O137" s="105">
        <f t="shared" si="31"/>
        <v>300</v>
      </c>
    </row>
    <row r="138" spans="1:15" ht="20.25" hidden="1" customHeight="1">
      <c r="A138" s="65" t="s">
        <v>1020</v>
      </c>
      <c r="B138" s="65" t="s">
        <v>980</v>
      </c>
      <c r="C138" s="130"/>
      <c r="D138" s="130"/>
      <c r="E138" s="130"/>
      <c r="F138" s="130"/>
      <c r="G138" s="130"/>
      <c r="H138" s="130">
        <v>7000</v>
      </c>
      <c r="I138" s="130"/>
      <c r="J138" s="130"/>
      <c r="K138" s="130"/>
      <c r="L138" s="130"/>
      <c r="M138" s="130"/>
      <c r="N138" s="130"/>
      <c r="O138" s="105">
        <f t="shared" si="31"/>
        <v>7000</v>
      </c>
    </row>
    <row r="139" spans="1:15" ht="20.25" hidden="1" customHeight="1">
      <c r="A139" s="47" t="s">
        <v>1021</v>
      </c>
      <c r="B139" s="47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>
        <v>500</v>
      </c>
      <c r="O139" s="105">
        <f t="shared" si="31"/>
        <v>500</v>
      </c>
    </row>
    <row r="140" spans="1:15" ht="20.25" hidden="1" customHeight="1">
      <c r="A140" s="47" t="s">
        <v>171</v>
      </c>
      <c r="B140" s="47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>
        <v>300</v>
      </c>
      <c r="M140" s="130"/>
      <c r="N140" s="130"/>
      <c r="O140" s="105">
        <f t="shared" si="31"/>
        <v>300</v>
      </c>
    </row>
    <row r="141" spans="1:15" ht="20.25" hidden="1" customHeight="1">
      <c r="A141" s="47" t="s">
        <v>1022</v>
      </c>
      <c r="B141" s="47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>
        <v>0</v>
      </c>
      <c r="O141" s="105">
        <f t="shared" si="31"/>
        <v>0</v>
      </c>
    </row>
    <row r="142" spans="1:15" ht="20.25" hidden="1" customHeight="1">
      <c r="A142" s="47" t="s">
        <v>173</v>
      </c>
      <c r="B142" s="47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>
        <v>8000</v>
      </c>
      <c r="N142" s="130"/>
      <c r="O142" s="105">
        <f t="shared" si="31"/>
        <v>8000</v>
      </c>
    </row>
    <row r="143" spans="1:15" ht="20.25" hidden="1" customHeight="1">
      <c r="A143" s="47" t="s">
        <v>174</v>
      </c>
      <c r="B143" s="47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05">
        <f>SUM(C143+D143+E143+F143+G143+H143+I143+J143+K143+L143+M143+N143)</f>
        <v>0</v>
      </c>
    </row>
    <row r="144" spans="1:15" ht="20.25" hidden="1" customHeight="1">
      <c r="A144" s="47" t="s">
        <v>175</v>
      </c>
      <c r="B144" s="47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05">
        <f>SUM(C144+D144+E144+F144+G144+H144+I144+J144+K144+L144+M144+N144)</f>
        <v>0</v>
      </c>
    </row>
    <row r="145" spans="1:16" ht="20.25" hidden="1" customHeight="1">
      <c r="A145" s="47" t="s">
        <v>176</v>
      </c>
      <c r="B145" s="47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05">
        <f>SUM(C145+D145+E145+F145+G145+H145+I145+J145+K145+L145+M145+N145)</f>
        <v>0</v>
      </c>
    </row>
    <row r="146" spans="1:16" ht="20.25" hidden="1" customHeight="1">
      <c r="A146" s="64" t="s">
        <v>177</v>
      </c>
      <c r="B146" s="64"/>
      <c r="C146" s="106">
        <f t="shared" ref="C146:O146" si="32">SUM(C120:C145)</f>
        <v>2002.9699999999998</v>
      </c>
      <c r="D146" s="106">
        <f t="shared" si="32"/>
        <v>1398.67</v>
      </c>
      <c r="E146" s="106">
        <f t="shared" si="32"/>
        <v>288.21000000000004</v>
      </c>
      <c r="F146" s="106">
        <f t="shared" si="32"/>
        <v>2980</v>
      </c>
      <c r="G146" s="106">
        <f t="shared" si="32"/>
        <v>4680</v>
      </c>
      <c r="H146" s="106">
        <f t="shared" si="32"/>
        <v>9680</v>
      </c>
      <c r="I146" s="106">
        <f t="shared" si="32"/>
        <v>5180</v>
      </c>
      <c r="J146" s="106">
        <f t="shared" si="32"/>
        <v>11680</v>
      </c>
      <c r="K146" s="106">
        <f t="shared" si="32"/>
        <v>2680</v>
      </c>
      <c r="L146" s="106">
        <f t="shared" si="32"/>
        <v>2980</v>
      </c>
      <c r="M146" s="106">
        <f t="shared" si="32"/>
        <v>11280</v>
      </c>
      <c r="N146" s="106">
        <f t="shared" si="32"/>
        <v>3180</v>
      </c>
      <c r="O146" s="106">
        <f t="shared" si="32"/>
        <v>58009.85</v>
      </c>
      <c r="P146" s="14"/>
    </row>
    <row r="147" spans="1:16" ht="25.5" hidden="1" customHeight="1">
      <c r="A147" s="63" t="s">
        <v>178</v>
      </c>
      <c r="B147" s="46"/>
      <c r="C147" s="78" t="str">
        <f t="shared" ref="C147:O147" si="33">C119</f>
        <v>Janeiro</v>
      </c>
      <c r="D147" s="78" t="str">
        <f t="shared" si="33"/>
        <v>Fevereiro</v>
      </c>
      <c r="E147" s="78" t="str">
        <f t="shared" si="33"/>
        <v xml:space="preserve">Março </v>
      </c>
      <c r="F147" s="78" t="str">
        <f t="shared" si="33"/>
        <v>Abril</v>
      </c>
      <c r="G147" s="78" t="str">
        <f t="shared" si="33"/>
        <v>Maio</v>
      </c>
      <c r="H147" s="78" t="str">
        <f t="shared" si="33"/>
        <v>Junho</v>
      </c>
      <c r="I147" s="78" t="str">
        <f t="shared" si="33"/>
        <v>Julho</v>
      </c>
      <c r="J147" s="78" t="str">
        <f t="shared" si="33"/>
        <v>Agosto</v>
      </c>
      <c r="K147" s="78" t="str">
        <f t="shared" si="33"/>
        <v>Setembro</v>
      </c>
      <c r="L147" s="78" t="str">
        <f t="shared" si="33"/>
        <v>Outubro</v>
      </c>
      <c r="M147" s="78" t="str">
        <f t="shared" si="33"/>
        <v>Novembro</v>
      </c>
      <c r="N147" s="78" t="str">
        <f t="shared" si="33"/>
        <v>Dezembro</v>
      </c>
      <c r="O147" s="42" t="str">
        <f t="shared" si="33"/>
        <v xml:space="preserve">TOTAL </v>
      </c>
    </row>
    <row r="148" spans="1:16" ht="21" hidden="1" customHeight="1">
      <c r="A148" s="107" t="s">
        <v>1023</v>
      </c>
      <c r="B148" s="101" t="s">
        <v>1024</v>
      </c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43">
        <f t="shared" ref="O148:O156" si="34">SUM(C148:N148)</f>
        <v>0</v>
      </c>
    </row>
    <row r="149" spans="1:16" ht="21" hidden="1" customHeight="1">
      <c r="A149" s="47" t="s">
        <v>1025</v>
      </c>
      <c r="B149" s="47"/>
      <c r="C149" s="130"/>
      <c r="D149" s="130">
        <v>0</v>
      </c>
      <c r="E149" s="130">
        <v>1168.3499999999999</v>
      </c>
      <c r="F149" s="130"/>
      <c r="G149" s="130"/>
      <c r="H149" s="130"/>
      <c r="I149" s="130"/>
      <c r="J149" s="130"/>
      <c r="K149" s="130"/>
      <c r="L149" s="130"/>
      <c r="M149" s="130"/>
      <c r="N149" s="130"/>
      <c r="O149" s="105">
        <f t="shared" si="34"/>
        <v>1168.3499999999999</v>
      </c>
    </row>
    <row r="150" spans="1:16" ht="21" hidden="1" customHeight="1">
      <c r="A150" s="47" t="s">
        <v>1026</v>
      </c>
      <c r="B150" s="47"/>
      <c r="C150" s="130"/>
      <c r="D150" s="130"/>
      <c r="E150" s="130"/>
      <c r="F150" s="130"/>
      <c r="G150" s="130">
        <v>4000</v>
      </c>
      <c r="H150" s="130"/>
      <c r="I150" s="130"/>
      <c r="J150" s="130"/>
      <c r="K150" s="130"/>
      <c r="L150" s="130">
        <v>4000</v>
      </c>
      <c r="M150" s="130"/>
      <c r="N150" s="130"/>
      <c r="O150" s="105">
        <f t="shared" si="34"/>
        <v>8000</v>
      </c>
    </row>
    <row r="151" spans="1:16" ht="21" hidden="1" customHeight="1">
      <c r="A151" s="47" t="s">
        <v>1027</v>
      </c>
      <c r="B151" s="47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>
        <v>9000</v>
      </c>
      <c r="N151" s="130"/>
      <c r="O151" s="105">
        <f t="shared" si="34"/>
        <v>9000</v>
      </c>
    </row>
    <row r="152" spans="1:16" ht="21" hidden="1" customHeight="1">
      <c r="A152" s="47" t="s">
        <v>1028</v>
      </c>
      <c r="B152" s="47"/>
      <c r="C152" s="130"/>
      <c r="D152" s="130"/>
      <c r="E152" s="130"/>
      <c r="F152" s="130"/>
      <c r="G152" s="130"/>
      <c r="H152" s="130"/>
      <c r="I152" s="130"/>
      <c r="J152" s="130">
        <v>20000</v>
      </c>
      <c r="K152" s="130"/>
      <c r="L152" s="130"/>
      <c r="M152" s="130"/>
      <c r="N152" s="130"/>
      <c r="O152" s="105">
        <f t="shared" si="34"/>
        <v>20000</v>
      </c>
    </row>
    <row r="153" spans="1:16" ht="21" hidden="1" customHeight="1">
      <c r="A153" s="107" t="s">
        <v>1029</v>
      </c>
      <c r="B153" s="47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05">
        <f t="shared" si="34"/>
        <v>0</v>
      </c>
    </row>
    <row r="154" spans="1:16" ht="21" hidden="1" customHeight="1">
      <c r="A154" s="47" t="s">
        <v>1030</v>
      </c>
      <c r="B154" s="47"/>
      <c r="C154" s="130"/>
      <c r="D154" s="130"/>
      <c r="E154" s="130">
        <v>0</v>
      </c>
      <c r="F154" s="130">
        <v>30000</v>
      </c>
      <c r="G154" s="130"/>
      <c r="H154" s="130"/>
      <c r="I154" s="130"/>
      <c r="J154" s="130"/>
      <c r="K154" s="130"/>
      <c r="L154" s="130"/>
      <c r="M154" s="130"/>
      <c r="N154" s="130"/>
      <c r="O154" s="105">
        <f t="shared" si="34"/>
        <v>30000</v>
      </c>
    </row>
    <row r="155" spans="1:16" ht="21" hidden="1" customHeight="1">
      <c r="A155" s="47" t="s">
        <v>1031</v>
      </c>
      <c r="B155" s="47"/>
      <c r="C155" s="130"/>
      <c r="D155" s="130"/>
      <c r="E155" s="130">
        <v>0</v>
      </c>
      <c r="F155" s="130">
        <v>0</v>
      </c>
      <c r="G155" s="130">
        <v>0</v>
      </c>
      <c r="H155" s="130">
        <v>0</v>
      </c>
      <c r="I155" s="130">
        <v>0</v>
      </c>
      <c r="J155" s="130"/>
      <c r="K155" s="130"/>
      <c r="L155" s="130"/>
      <c r="M155" s="130"/>
      <c r="N155" s="130"/>
      <c r="O155" s="105">
        <f t="shared" si="34"/>
        <v>0</v>
      </c>
    </row>
    <row r="156" spans="1:16" ht="21" hidden="1" customHeight="1">
      <c r="B156" s="47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05">
        <f t="shared" si="34"/>
        <v>0</v>
      </c>
    </row>
    <row r="157" spans="1:16" ht="20.25" hidden="1" customHeight="1">
      <c r="A157" s="64" t="s">
        <v>179</v>
      </c>
      <c r="B157" s="64"/>
      <c r="C157" s="106">
        <f t="shared" ref="C157:O157" si="35">SUM(C148:C156)</f>
        <v>0</v>
      </c>
      <c r="D157" s="106">
        <f t="shared" si="35"/>
        <v>0</v>
      </c>
      <c r="E157" s="106">
        <f t="shared" si="35"/>
        <v>1168.3499999999999</v>
      </c>
      <c r="F157" s="106">
        <f t="shared" si="35"/>
        <v>30000</v>
      </c>
      <c r="G157" s="106">
        <f t="shared" si="35"/>
        <v>4000</v>
      </c>
      <c r="H157" s="106">
        <f t="shared" si="35"/>
        <v>0</v>
      </c>
      <c r="I157" s="106">
        <f t="shared" si="35"/>
        <v>0</v>
      </c>
      <c r="J157" s="106">
        <f t="shared" si="35"/>
        <v>20000</v>
      </c>
      <c r="K157" s="106">
        <f t="shared" si="35"/>
        <v>0</v>
      </c>
      <c r="L157" s="106">
        <f t="shared" si="35"/>
        <v>4000</v>
      </c>
      <c r="M157" s="106">
        <f t="shared" si="35"/>
        <v>9000</v>
      </c>
      <c r="N157" s="106">
        <f t="shared" si="35"/>
        <v>0</v>
      </c>
      <c r="O157" s="106">
        <f t="shared" si="35"/>
        <v>68168.350000000006</v>
      </c>
      <c r="P157" s="14"/>
    </row>
    <row r="158" spans="1:16" ht="27.75" hidden="1" customHeight="1">
      <c r="A158" s="58" t="s">
        <v>180</v>
      </c>
      <c r="B158" s="46"/>
      <c r="C158" s="78" t="str">
        <f t="shared" ref="C158:O158" si="36">C147</f>
        <v>Janeiro</v>
      </c>
      <c r="D158" s="78" t="str">
        <f t="shared" si="36"/>
        <v>Fevereiro</v>
      </c>
      <c r="E158" s="78" t="str">
        <f t="shared" si="36"/>
        <v xml:space="preserve">Março </v>
      </c>
      <c r="F158" s="78" t="str">
        <f t="shared" si="36"/>
        <v>Abril</v>
      </c>
      <c r="G158" s="78" t="str">
        <f t="shared" si="36"/>
        <v>Maio</v>
      </c>
      <c r="H158" s="78" t="str">
        <f t="shared" si="36"/>
        <v>Junho</v>
      </c>
      <c r="I158" s="78" t="str">
        <f t="shared" si="36"/>
        <v>Julho</v>
      </c>
      <c r="J158" s="78" t="str">
        <f t="shared" si="36"/>
        <v>Agosto</v>
      </c>
      <c r="K158" s="78" t="str">
        <f t="shared" si="36"/>
        <v>Setembro</v>
      </c>
      <c r="L158" s="78" t="str">
        <f t="shared" si="36"/>
        <v>Outubro</v>
      </c>
      <c r="M158" s="78" t="str">
        <f t="shared" si="36"/>
        <v>Novembro</v>
      </c>
      <c r="N158" s="78" t="str">
        <f t="shared" si="36"/>
        <v>Dezembro</v>
      </c>
      <c r="O158" s="42" t="str">
        <f t="shared" si="36"/>
        <v xml:space="preserve">TOTAL </v>
      </c>
    </row>
    <row r="159" spans="1:16" ht="27.75" hidden="1" customHeight="1">
      <c r="A159" s="58" t="s">
        <v>1032</v>
      </c>
      <c r="B159" s="51"/>
      <c r="C159" s="35"/>
      <c r="D159" s="35"/>
      <c r="E159" s="35"/>
      <c r="F159" s="35"/>
      <c r="G159" s="83"/>
      <c r="H159" s="89"/>
      <c r="I159" s="89">
        <v>234622.96</v>
      </c>
      <c r="J159" s="89">
        <v>234622.96</v>
      </c>
      <c r="K159" s="89">
        <v>234622.96</v>
      </c>
      <c r="L159" s="89">
        <v>234622.96</v>
      </c>
      <c r="M159" s="89">
        <v>234622.96</v>
      </c>
      <c r="N159" s="89">
        <v>234622.96</v>
      </c>
      <c r="O159" s="105">
        <f>SUM(C159:N159)</f>
        <v>1407737.76</v>
      </c>
    </row>
    <row r="160" spans="1:16" ht="27.75" hidden="1" customHeight="1">
      <c r="A160" s="58" t="s">
        <v>182</v>
      </c>
      <c r="B160" s="51"/>
      <c r="C160" s="89">
        <v>0</v>
      </c>
      <c r="D160" s="89">
        <v>0</v>
      </c>
      <c r="E160" s="90">
        <v>214739.25</v>
      </c>
      <c r="F160" s="90">
        <v>214739.25</v>
      </c>
      <c r="G160" s="90">
        <v>214739.25</v>
      </c>
      <c r="H160" s="90">
        <v>214739.25</v>
      </c>
      <c r="I160" s="90">
        <v>214739.25</v>
      </c>
      <c r="J160" s="90">
        <v>214739.25</v>
      </c>
      <c r="K160" s="90">
        <v>214739.25</v>
      </c>
      <c r="L160" s="90">
        <v>214739.25</v>
      </c>
      <c r="M160" s="90">
        <v>214739.25</v>
      </c>
      <c r="N160" s="90">
        <v>214739.25</v>
      </c>
      <c r="O160" s="105">
        <f>SUM(C160:N160)</f>
        <v>2147392.5</v>
      </c>
    </row>
    <row r="161" spans="1:16" ht="27.75" hidden="1" customHeight="1">
      <c r="A161" s="58" t="s">
        <v>1033</v>
      </c>
      <c r="B161" s="51"/>
      <c r="C161" s="89">
        <v>0</v>
      </c>
      <c r="D161" s="89">
        <v>0</v>
      </c>
      <c r="E161" s="89">
        <v>139319.45000000001</v>
      </c>
      <c r="F161" s="89">
        <v>139319.45000000001</v>
      </c>
      <c r="G161" s="89">
        <v>139319.45000000001</v>
      </c>
      <c r="H161" s="89">
        <v>139319.45000000001</v>
      </c>
      <c r="I161" s="89">
        <v>139319.45000000001</v>
      </c>
      <c r="J161" s="89">
        <v>139319.45000000001</v>
      </c>
      <c r="K161" s="89">
        <v>139319.45000000001</v>
      </c>
      <c r="L161" s="89">
        <v>139319.45000000001</v>
      </c>
      <c r="M161" s="89">
        <v>139319.45000000001</v>
      </c>
      <c r="N161" s="89">
        <v>139319.45000000001</v>
      </c>
      <c r="O161" s="105">
        <f>SUM(C161:N161)</f>
        <v>1393194.4999999998</v>
      </c>
    </row>
    <row r="162" spans="1:16" ht="27.75" hidden="1" customHeight="1">
      <c r="A162" s="58" t="s">
        <v>1034</v>
      </c>
      <c r="B162" s="51"/>
      <c r="C162" s="89">
        <v>27612.05</v>
      </c>
      <c r="D162" s="35"/>
      <c r="E162" s="35"/>
      <c r="F162" s="35"/>
      <c r="G162" s="35"/>
      <c r="H162" s="35"/>
      <c r="I162" s="89">
        <v>0</v>
      </c>
      <c r="J162" s="35"/>
      <c r="K162" s="35"/>
      <c r="L162" s="35"/>
      <c r="M162" s="35"/>
      <c r="N162" s="35"/>
      <c r="O162" s="105">
        <f>SUM(C162:N162)</f>
        <v>27612.05</v>
      </c>
    </row>
    <row r="163" spans="1:16" ht="24.75" hidden="1" customHeight="1">
      <c r="A163" s="127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05">
        <f>SUM(C163+D163+E163+F163+G163+H163+I163+J163+K163+L163+M163+N163)</f>
        <v>0</v>
      </c>
    </row>
    <row r="164" spans="1:16" ht="20.25" hidden="1" customHeight="1">
      <c r="A164" s="64" t="s">
        <v>183</v>
      </c>
      <c r="B164" s="7"/>
      <c r="C164" s="8">
        <f t="shared" ref="C164:O164" si="37">SUM(C159:C163)</f>
        <v>27612.05</v>
      </c>
      <c r="D164" s="8">
        <f t="shared" si="37"/>
        <v>0</v>
      </c>
      <c r="E164" s="8">
        <f t="shared" si="37"/>
        <v>354058.7</v>
      </c>
      <c r="F164" s="8">
        <f t="shared" si="37"/>
        <v>354058.7</v>
      </c>
      <c r="G164" s="8">
        <f t="shared" si="37"/>
        <v>354058.7</v>
      </c>
      <c r="H164" s="8">
        <f t="shared" si="37"/>
        <v>354058.7</v>
      </c>
      <c r="I164" s="8">
        <f t="shared" si="37"/>
        <v>588681.65999999992</v>
      </c>
      <c r="J164" s="8">
        <f t="shared" si="37"/>
        <v>588681.65999999992</v>
      </c>
      <c r="K164" s="8">
        <f t="shared" si="37"/>
        <v>588681.65999999992</v>
      </c>
      <c r="L164" s="8">
        <f t="shared" si="37"/>
        <v>588681.65999999992</v>
      </c>
      <c r="M164" s="8">
        <f t="shared" si="37"/>
        <v>588681.65999999992</v>
      </c>
      <c r="N164" s="8">
        <f t="shared" si="37"/>
        <v>588681.65999999992</v>
      </c>
      <c r="O164" s="8">
        <f t="shared" si="37"/>
        <v>4975936.8099999996</v>
      </c>
      <c r="P164" s="14"/>
    </row>
    <row r="165" spans="1:16" ht="27" hidden="1" customHeight="1">
      <c r="A165" s="66" t="s">
        <v>184</v>
      </c>
      <c r="B165" s="50"/>
      <c r="C165" s="78" t="str">
        <f t="shared" ref="C165:O165" si="38">C158</f>
        <v>Janeiro</v>
      </c>
      <c r="D165" s="78" t="str">
        <f t="shared" si="38"/>
        <v>Fevereiro</v>
      </c>
      <c r="E165" s="78" t="str">
        <f t="shared" si="38"/>
        <v xml:space="preserve">Março </v>
      </c>
      <c r="F165" s="78" t="str">
        <f t="shared" si="38"/>
        <v>Abril</v>
      </c>
      <c r="G165" s="78" t="str">
        <f t="shared" si="38"/>
        <v>Maio</v>
      </c>
      <c r="H165" s="78" t="str">
        <f t="shared" si="38"/>
        <v>Junho</v>
      </c>
      <c r="I165" s="78" t="str">
        <f t="shared" si="38"/>
        <v>Julho</v>
      </c>
      <c r="J165" s="78" t="str">
        <f t="shared" si="38"/>
        <v>Agosto</v>
      </c>
      <c r="K165" s="78" t="str">
        <f t="shared" si="38"/>
        <v>Setembro</v>
      </c>
      <c r="L165" s="78" t="str">
        <f t="shared" si="38"/>
        <v>Outubro</v>
      </c>
      <c r="M165" s="78" t="str">
        <f t="shared" si="38"/>
        <v>Novembro</v>
      </c>
      <c r="N165" s="78" t="str">
        <f t="shared" si="38"/>
        <v>Dezembro</v>
      </c>
      <c r="O165" s="40" t="str">
        <f t="shared" si="38"/>
        <v xml:space="preserve">TOTAL </v>
      </c>
    </row>
    <row r="166" spans="1:16" ht="20.25" hidden="1" customHeight="1">
      <c r="A166" s="47" t="s">
        <v>185</v>
      </c>
      <c r="C166" s="130"/>
      <c r="D166" s="130">
        <v>7222.82</v>
      </c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05">
        <f t="shared" ref="O166:O184" si="39">SUM(C166:N166)</f>
        <v>7222.82</v>
      </c>
    </row>
    <row r="167" spans="1:16" ht="20.25" hidden="1" customHeight="1">
      <c r="A167" s="47" t="s">
        <v>1035</v>
      </c>
      <c r="C167" s="130">
        <v>80315.95</v>
      </c>
      <c r="D167" s="130">
        <v>79132.73</v>
      </c>
      <c r="E167" s="130">
        <v>83801.78</v>
      </c>
      <c r="F167" s="130">
        <f t="shared" ref="F167:N167" si="40">2800000*3%</f>
        <v>84000</v>
      </c>
      <c r="G167" s="130">
        <f t="shared" si="40"/>
        <v>84000</v>
      </c>
      <c r="H167" s="130">
        <f t="shared" si="40"/>
        <v>84000</v>
      </c>
      <c r="I167" s="130">
        <f t="shared" si="40"/>
        <v>84000</v>
      </c>
      <c r="J167" s="130">
        <f t="shared" si="40"/>
        <v>84000</v>
      </c>
      <c r="K167" s="130">
        <f t="shared" si="40"/>
        <v>84000</v>
      </c>
      <c r="L167" s="130">
        <f t="shared" si="40"/>
        <v>84000</v>
      </c>
      <c r="M167" s="130">
        <f t="shared" si="40"/>
        <v>84000</v>
      </c>
      <c r="N167" s="130">
        <f t="shared" si="40"/>
        <v>84000</v>
      </c>
      <c r="O167" s="105">
        <f t="shared" si="39"/>
        <v>999250.46</v>
      </c>
    </row>
    <row r="168" spans="1:16" ht="20.25" hidden="1" customHeight="1">
      <c r="A168" s="47" t="s">
        <v>1036</v>
      </c>
      <c r="C168" s="130">
        <v>307392.90999999997</v>
      </c>
      <c r="D168" s="130">
        <v>357637.28</v>
      </c>
      <c r="E168" s="130">
        <v>337987.84000000003</v>
      </c>
      <c r="F168" s="130" t="e">
        <f>(((#REF!)-2500000)*7.6%)-45000</f>
        <v>#REF!</v>
      </c>
      <c r="G168" s="130" t="e">
        <f>(((#REF!)-2500000)*7.6%)-43000</f>
        <v>#REF!</v>
      </c>
      <c r="H168" s="130" t="e">
        <f>(((#REF!)-2500000)*7.6%)-45000</f>
        <v>#REF!</v>
      </c>
      <c r="I168" s="130" t="e">
        <f>(((#REF!)-2500000)*7.6%)-45000</f>
        <v>#REF!</v>
      </c>
      <c r="J168" s="130" t="e">
        <f>(((#REF!)-2500000)*7.6%)-45000</f>
        <v>#REF!</v>
      </c>
      <c r="K168" s="130" t="e">
        <f>(((#REF!)-2500000)*7.6%)-45000</f>
        <v>#REF!</v>
      </c>
      <c r="L168" s="130" t="e">
        <f>(((#REF!)-2500000)*7.6%)-45000</f>
        <v>#REF!</v>
      </c>
      <c r="M168" s="130" t="e">
        <f>(((#REF!)-2500000)*7.6%)-45000</f>
        <v>#REF!</v>
      </c>
      <c r="N168" s="130" t="e">
        <f>(((#REF!)-2500000)*7.6%)-43000</f>
        <v>#REF!</v>
      </c>
      <c r="O168" s="105" t="e">
        <f t="shared" si="39"/>
        <v>#REF!</v>
      </c>
    </row>
    <row r="169" spans="1:16" ht="20.25" hidden="1" customHeight="1">
      <c r="A169" s="47" t="s">
        <v>187</v>
      </c>
      <c r="C169" s="130">
        <v>46054.13</v>
      </c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05">
        <f t="shared" si="39"/>
        <v>46054.13</v>
      </c>
    </row>
    <row r="170" spans="1:16" ht="20.25" hidden="1" customHeight="1">
      <c r="A170" s="47" t="s">
        <v>188</v>
      </c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05">
        <f t="shared" si="39"/>
        <v>0</v>
      </c>
    </row>
    <row r="171" spans="1:16" ht="20.25" hidden="1" customHeight="1">
      <c r="A171" s="47" t="s">
        <v>1037</v>
      </c>
      <c r="C171" s="130"/>
      <c r="D171" s="130"/>
      <c r="E171" s="130">
        <v>15</v>
      </c>
      <c r="F171" s="130"/>
      <c r="G171" s="130"/>
      <c r="H171" s="130"/>
      <c r="I171" s="130"/>
      <c r="J171" s="130"/>
      <c r="K171" s="130"/>
      <c r="L171" s="130"/>
      <c r="M171" s="130"/>
      <c r="N171" s="130"/>
      <c r="O171" s="105">
        <f t="shared" si="39"/>
        <v>15</v>
      </c>
    </row>
    <row r="172" spans="1:16" ht="20.25" hidden="1" customHeight="1">
      <c r="A172" s="47" t="s">
        <v>189</v>
      </c>
      <c r="C172" s="130">
        <v>710.02</v>
      </c>
      <c r="D172" s="130">
        <v>449.98</v>
      </c>
      <c r="E172" s="130">
        <v>683.15</v>
      </c>
      <c r="F172" s="130">
        <v>1500</v>
      </c>
      <c r="G172" s="130">
        <v>1500</v>
      </c>
      <c r="H172" s="130">
        <v>1500</v>
      </c>
      <c r="I172" s="130">
        <v>1500</v>
      </c>
      <c r="J172" s="130">
        <v>1500</v>
      </c>
      <c r="K172" s="130">
        <v>1500</v>
      </c>
      <c r="L172" s="130">
        <v>1500</v>
      </c>
      <c r="M172" s="130">
        <v>1500</v>
      </c>
      <c r="N172" s="130">
        <v>1500</v>
      </c>
      <c r="O172" s="105">
        <f t="shared" si="39"/>
        <v>15343.15</v>
      </c>
    </row>
    <row r="173" spans="1:16" ht="20.25" hidden="1" customHeight="1">
      <c r="A173" s="47" t="s">
        <v>729</v>
      </c>
      <c r="C173" s="130"/>
      <c r="D173" s="130"/>
      <c r="E173" s="130">
        <v>90</v>
      </c>
      <c r="F173" s="130"/>
      <c r="G173" s="130"/>
      <c r="H173" s="130"/>
      <c r="I173" s="130"/>
      <c r="J173" s="130"/>
      <c r="K173" s="130"/>
      <c r="L173" s="130"/>
      <c r="M173" s="130"/>
      <c r="N173" s="130"/>
      <c r="O173" s="105">
        <f t="shared" si="39"/>
        <v>90</v>
      </c>
    </row>
    <row r="174" spans="1:16" ht="20.25" hidden="1" customHeight="1">
      <c r="A174" s="47" t="s">
        <v>731</v>
      </c>
      <c r="C174" s="130">
        <v>0</v>
      </c>
      <c r="D174" s="130">
        <v>15610.08</v>
      </c>
      <c r="E174" s="130">
        <v>19540.32</v>
      </c>
      <c r="F174" s="130">
        <v>13500</v>
      </c>
      <c r="G174" s="130">
        <v>13500</v>
      </c>
      <c r="H174" s="130">
        <v>13500</v>
      </c>
      <c r="I174" s="130">
        <v>13500</v>
      </c>
      <c r="J174" s="130">
        <v>13500</v>
      </c>
      <c r="K174" s="130">
        <v>13500</v>
      </c>
      <c r="L174" s="130">
        <v>13500</v>
      </c>
      <c r="M174" s="130">
        <v>13500</v>
      </c>
      <c r="N174" s="130">
        <v>13500</v>
      </c>
      <c r="O174" s="105">
        <f t="shared" si="39"/>
        <v>156650.4</v>
      </c>
    </row>
    <row r="175" spans="1:16" ht="20.25" hidden="1" customHeight="1">
      <c r="A175" s="47" t="s">
        <v>191</v>
      </c>
      <c r="C175" s="130">
        <v>3103.05</v>
      </c>
      <c r="D175" s="130">
        <v>4096.01</v>
      </c>
      <c r="E175" s="130">
        <v>3657.16</v>
      </c>
      <c r="F175" s="130">
        <v>4000</v>
      </c>
      <c r="G175" s="130">
        <v>4000</v>
      </c>
      <c r="H175" s="130">
        <v>4000</v>
      </c>
      <c r="I175" s="130">
        <v>4000</v>
      </c>
      <c r="J175" s="130">
        <v>4000</v>
      </c>
      <c r="K175" s="130">
        <v>4000</v>
      </c>
      <c r="L175" s="130">
        <v>4000</v>
      </c>
      <c r="M175" s="130">
        <v>4000</v>
      </c>
      <c r="N175" s="130">
        <v>4000</v>
      </c>
      <c r="O175" s="105">
        <f t="shared" si="39"/>
        <v>46856.22</v>
      </c>
    </row>
    <row r="176" spans="1:16" ht="20.25" hidden="1" customHeight="1">
      <c r="A176" s="47" t="s">
        <v>192</v>
      </c>
      <c r="C176" s="130">
        <v>6206.09</v>
      </c>
      <c r="D176" s="130">
        <v>8192.02</v>
      </c>
      <c r="E176" s="130">
        <v>7314.31</v>
      </c>
      <c r="F176" s="130">
        <v>8000</v>
      </c>
      <c r="G176" s="130">
        <v>8000</v>
      </c>
      <c r="H176" s="130">
        <v>8000</v>
      </c>
      <c r="I176" s="130">
        <v>8000</v>
      </c>
      <c r="J176" s="130">
        <v>8000</v>
      </c>
      <c r="K176" s="130">
        <v>8000</v>
      </c>
      <c r="L176" s="130">
        <v>8000</v>
      </c>
      <c r="M176" s="130">
        <v>8000</v>
      </c>
      <c r="N176" s="130">
        <v>8000</v>
      </c>
      <c r="O176" s="105">
        <f t="shared" si="39"/>
        <v>93712.42</v>
      </c>
    </row>
    <row r="177" spans="1:16" ht="20.25" hidden="1" customHeight="1">
      <c r="A177" s="47" t="s">
        <v>193</v>
      </c>
      <c r="C177" s="130"/>
      <c r="D177" s="130">
        <v>0</v>
      </c>
      <c r="E177" s="130">
        <v>96.74</v>
      </c>
      <c r="F177" s="130">
        <v>8000</v>
      </c>
      <c r="G177" s="130">
        <v>8000</v>
      </c>
      <c r="H177" s="130">
        <v>8000</v>
      </c>
      <c r="I177" s="130">
        <v>8000</v>
      </c>
      <c r="J177" s="130">
        <v>8000</v>
      </c>
      <c r="K177" s="130">
        <v>8000</v>
      </c>
      <c r="L177" s="130">
        <v>8000</v>
      </c>
      <c r="M177" s="130">
        <v>10000</v>
      </c>
      <c r="N177" s="130">
        <v>10000</v>
      </c>
      <c r="O177" s="105">
        <f t="shared" si="39"/>
        <v>76096.739999999991</v>
      </c>
    </row>
    <row r="178" spans="1:16" ht="20.25" hidden="1" customHeight="1">
      <c r="A178" s="47" t="s">
        <v>194</v>
      </c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05">
        <f t="shared" si="39"/>
        <v>0</v>
      </c>
    </row>
    <row r="179" spans="1:16" ht="20.25" hidden="1" customHeight="1">
      <c r="A179" s="47" t="s">
        <v>195</v>
      </c>
      <c r="C179" s="130">
        <v>338246.95</v>
      </c>
      <c r="D179" s="130" t="e">
        <f>#REF!*4.5%</f>
        <v>#REF!</v>
      </c>
      <c r="E179" s="130">
        <v>378168.8</v>
      </c>
      <c r="F179" s="130" t="e">
        <f>#REF!*4.5%</f>
        <v>#REF!</v>
      </c>
      <c r="G179" s="130" t="e">
        <f>#REF!*4.5%</f>
        <v>#REF!</v>
      </c>
      <c r="H179" s="130" t="e">
        <f>#REF!*4.5%</f>
        <v>#REF!</v>
      </c>
      <c r="I179" s="130" t="e">
        <f>#REF!*4.5%</f>
        <v>#REF!</v>
      </c>
      <c r="J179" s="130" t="e">
        <f>#REF!*4.5%</f>
        <v>#REF!</v>
      </c>
      <c r="K179" s="130" t="e">
        <f>#REF!*4.5%</f>
        <v>#REF!</v>
      </c>
      <c r="L179" s="130" t="e">
        <f>#REF!*4.5%</f>
        <v>#REF!</v>
      </c>
      <c r="M179" s="130" t="e">
        <f>#REF!*4.5%</f>
        <v>#REF!</v>
      </c>
      <c r="N179" s="130" t="e">
        <f>#REF!*4.5%</f>
        <v>#REF!</v>
      </c>
      <c r="O179" s="105" t="e">
        <f t="shared" si="39"/>
        <v>#REF!</v>
      </c>
    </row>
    <row r="180" spans="1:16" ht="20.25" hidden="1" customHeight="1">
      <c r="A180" s="47" t="s">
        <v>196</v>
      </c>
      <c r="C180" s="130"/>
      <c r="D180" s="130"/>
      <c r="E180" s="130">
        <v>35376.01</v>
      </c>
      <c r="F180" s="130"/>
      <c r="G180" s="130"/>
      <c r="H180" s="130"/>
      <c r="I180" s="130"/>
      <c r="J180" s="130"/>
      <c r="K180" s="130"/>
      <c r="L180" s="130"/>
      <c r="M180" s="130"/>
      <c r="N180" s="130"/>
      <c r="O180" s="105">
        <f t="shared" si="39"/>
        <v>35376.01</v>
      </c>
    </row>
    <row r="181" spans="1:16" ht="20.25" hidden="1" customHeight="1">
      <c r="A181" s="47" t="s">
        <v>197</v>
      </c>
      <c r="C181" s="130">
        <v>335099.8</v>
      </c>
      <c r="D181" s="130">
        <v>371475.84</v>
      </c>
      <c r="E181" s="130">
        <v>374005.54</v>
      </c>
      <c r="F181" s="130" t="e">
        <f>((#REF!)-#REF!-#REF!)*5%</f>
        <v>#REF!</v>
      </c>
      <c r="G181" s="130" t="e">
        <f>((#REF!)-#REF!-#REF!)*5%</f>
        <v>#REF!</v>
      </c>
      <c r="H181" s="130" t="e">
        <f>((#REF!)-#REF!-#REF!)*5%</f>
        <v>#REF!</v>
      </c>
      <c r="I181" s="130" t="e">
        <f>((#REF!)-#REF!-#REF!)*5%</f>
        <v>#REF!</v>
      </c>
      <c r="J181" s="130" t="e">
        <f>((#REF!)-#REF!-#REF!)*5%</f>
        <v>#REF!</v>
      </c>
      <c r="K181" s="130" t="e">
        <f>((#REF!)-#REF!-#REF!)*5%</f>
        <v>#REF!</v>
      </c>
      <c r="L181" s="130" t="e">
        <f>((#REF!)-#REF!-#REF!)*5%</f>
        <v>#REF!</v>
      </c>
      <c r="M181" s="130" t="e">
        <f>((#REF!)-#REF!-#REF!)*5%</f>
        <v>#REF!</v>
      </c>
      <c r="N181" s="130" t="e">
        <f>((#REF!)-#REF!-#REF!)*5%</f>
        <v>#REF!</v>
      </c>
      <c r="O181" s="105" t="e">
        <f t="shared" si="39"/>
        <v>#REF!</v>
      </c>
    </row>
    <row r="182" spans="1:16" ht="20.25" hidden="1" customHeight="1">
      <c r="A182" s="47" t="s">
        <v>198</v>
      </c>
      <c r="C182" s="130">
        <v>2672.36</v>
      </c>
      <c r="D182" s="130">
        <v>2994.97</v>
      </c>
      <c r="E182" s="130">
        <v>2444.42</v>
      </c>
      <c r="F182" s="130">
        <v>4000</v>
      </c>
      <c r="G182" s="130">
        <v>4000</v>
      </c>
      <c r="H182" s="130">
        <v>4000</v>
      </c>
      <c r="I182" s="130">
        <v>4000</v>
      </c>
      <c r="J182" s="130">
        <v>4000</v>
      </c>
      <c r="K182" s="130">
        <v>4000</v>
      </c>
      <c r="L182" s="130">
        <v>4000</v>
      </c>
      <c r="M182" s="130">
        <v>4000</v>
      </c>
      <c r="N182" s="130">
        <v>4000</v>
      </c>
      <c r="O182" s="105">
        <f t="shared" si="39"/>
        <v>44111.75</v>
      </c>
    </row>
    <row r="183" spans="1:16" ht="20.25" hidden="1" customHeight="1">
      <c r="A183" s="47" t="s">
        <v>1038</v>
      </c>
      <c r="C183" s="130">
        <v>17401.79</v>
      </c>
      <c r="D183" s="130">
        <v>17145.43</v>
      </c>
      <c r="E183" s="130">
        <v>18157.05</v>
      </c>
      <c r="F183" s="130">
        <f t="shared" ref="F183:N183" si="41">2900000*0.65%</f>
        <v>18850</v>
      </c>
      <c r="G183" s="130">
        <f t="shared" si="41"/>
        <v>18850</v>
      </c>
      <c r="H183" s="130">
        <f t="shared" si="41"/>
        <v>18850</v>
      </c>
      <c r="I183" s="130">
        <f t="shared" si="41"/>
        <v>18850</v>
      </c>
      <c r="J183" s="130">
        <f t="shared" si="41"/>
        <v>18850</v>
      </c>
      <c r="K183" s="130">
        <f t="shared" si="41"/>
        <v>18850</v>
      </c>
      <c r="L183" s="130">
        <f t="shared" si="41"/>
        <v>18850</v>
      </c>
      <c r="M183" s="130">
        <f t="shared" si="41"/>
        <v>18850</v>
      </c>
      <c r="N183" s="130">
        <f t="shared" si="41"/>
        <v>18850</v>
      </c>
      <c r="O183" s="105">
        <f t="shared" si="39"/>
        <v>222354.27000000002</v>
      </c>
    </row>
    <row r="184" spans="1:16" ht="20.25" hidden="1" customHeight="1">
      <c r="A184" s="47" t="s">
        <v>1039</v>
      </c>
      <c r="C184" s="130">
        <v>66718.45</v>
      </c>
      <c r="D184" s="130">
        <v>77616.490000000005</v>
      </c>
      <c r="E184" s="130">
        <v>74160.56</v>
      </c>
      <c r="F184" s="130" t="e">
        <f>(((#REF!)-2500000)*1.65%)-10000</f>
        <v>#REF!</v>
      </c>
      <c r="G184" s="130" t="e">
        <f>(((#REF!)-2500000)*1.65%)-9000</f>
        <v>#REF!</v>
      </c>
      <c r="H184" s="130" t="e">
        <f>(((#REF!)-2500000)*1.65%)-10000</f>
        <v>#REF!</v>
      </c>
      <c r="I184" s="130" t="e">
        <f>(((#REF!)-2500000)*1.65%)-9000</f>
        <v>#REF!</v>
      </c>
      <c r="J184" s="130" t="e">
        <f>(((#REF!)-2500000)*1.65%)-10000</f>
        <v>#REF!</v>
      </c>
      <c r="K184" s="130" t="e">
        <f>(((#REF!)-2500000)*1.65%)-10000</f>
        <v>#REF!</v>
      </c>
      <c r="L184" s="130" t="e">
        <f>(((#REF!)-2500000)*1.65%)-9000</f>
        <v>#REF!</v>
      </c>
      <c r="M184" s="130" t="e">
        <f>(((#REF!)-2500000)*1.65%)-10000</f>
        <v>#REF!</v>
      </c>
      <c r="N184" s="130" t="e">
        <f>(((#REF!)-2500000)*1.65%)-10000</f>
        <v>#REF!</v>
      </c>
      <c r="O184" s="105" t="e">
        <f t="shared" si="39"/>
        <v>#REF!</v>
      </c>
    </row>
    <row r="185" spans="1:16" ht="20.25" hidden="1" customHeight="1">
      <c r="A185" s="64" t="s">
        <v>200</v>
      </c>
      <c r="B185" s="7"/>
      <c r="C185" s="106">
        <f t="shared" ref="C185:O185" si="42">SUM(C166:C184)</f>
        <v>1203921.5000000002</v>
      </c>
      <c r="D185" s="106" t="e">
        <f t="shared" si="42"/>
        <v>#REF!</v>
      </c>
      <c r="E185" s="106">
        <f t="shared" si="42"/>
        <v>1335498.68</v>
      </c>
      <c r="F185" s="106" t="e">
        <f t="shared" si="42"/>
        <v>#REF!</v>
      </c>
      <c r="G185" s="106" t="e">
        <f t="shared" si="42"/>
        <v>#REF!</v>
      </c>
      <c r="H185" s="106" t="e">
        <f t="shared" si="42"/>
        <v>#REF!</v>
      </c>
      <c r="I185" s="106" t="e">
        <f t="shared" si="42"/>
        <v>#REF!</v>
      </c>
      <c r="J185" s="106" t="e">
        <f t="shared" si="42"/>
        <v>#REF!</v>
      </c>
      <c r="K185" s="106" t="e">
        <f t="shared" si="42"/>
        <v>#REF!</v>
      </c>
      <c r="L185" s="106" t="e">
        <f t="shared" si="42"/>
        <v>#REF!</v>
      </c>
      <c r="M185" s="106" t="e">
        <f t="shared" si="42"/>
        <v>#REF!</v>
      </c>
      <c r="N185" s="106" t="e">
        <f t="shared" si="42"/>
        <v>#REF!</v>
      </c>
      <c r="O185" s="106" t="e">
        <f t="shared" si="42"/>
        <v>#REF!</v>
      </c>
      <c r="P185" s="14"/>
    </row>
    <row r="186" spans="1:16" ht="26.65" hidden="1" customHeight="1">
      <c r="A186" s="66" t="s">
        <v>201</v>
      </c>
      <c r="B186" s="50"/>
      <c r="C186" s="78" t="str">
        <f t="shared" ref="C186:O186" si="43">C165</f>
        <v>Janeiro</v>
      </c>
      <c r="D186" s="78" t="str">
        <f t="shared" si="43"/>
        <v>Fevereiro</v>
      </c>
      <c r="E186" s="78" t="str">
        <f t="shared" si="43"/>
        <v xml:space="preserve">Março </v>
      </c>
      <c r="F186" s="78" t="str">
        <f t="shared" si="43"/>
        <v>Abril</v>
      </c>
      <c r="G186" s="78" t="str">
        <f t="shared" si="43"/>
        <v>Maio</v>
      </c>
      <c r="H186" s="78" t="str">
        <f t="shared" si="43"/>
        <v>Junho</v>
      </c>
      <c r="I186" s="78" t="str">
        <f t="shared" si="43"/>
        <v>Julho</v>
      </c>
      <c r="J186" s="78" t="str">
        <f t="shared" si="43"/>
        <v>Agosto</v>
      </c>
      <c r="K186" s="78" t="str">
        <f t="shared" si="43"/>
        <v>Setembro</v>
      </c>
      <c r="L186" s="78" t="str">
        <f t="shared" si="43"/>
        <v>Outubro</v>
      </c>
      <c r="M186" s="78" t="str">
        <f t="shared" si="43"/>
        <v>Novembro</v>
      </c>
      <c r="N186" s="78" t="str">
        <f t="shared" si="43"/>
        <v>Dezembro</v>
      </c>
      <c r="O186" s="40" t="str">
        <f t="shared" si="43"/>
        <v xml:space="preserve">TOTAL </v>
      </c>
    </row>
    <row r="187" spans="1:16" ht="20.25" hidden="1" customHeight="1">
      <c r="A187" s="47" t="s">
        <v>202</v>
      </c>
      <c r="C187" s="130">
        <v>66203.38</v>
      </c>
      <c r="D187" s="130">
        <v>66203.28</v>
      </c>
      <c r="E187" s="130">
        <v>66203.61</v>
      </c>
      <c r="F187" s="130">
        <v>68931.3</v>
      </c>
      <c r="G187" s="130">
        <v>68931.3</v>
      </c>
      <c r="H187" s="130">
        <v>70931.3</v>
      </c>
      <c r="I187" s="130">
        <v>70931.3</v>
      </c>
      <c r="J187" s="130">
        <v>70931.3</v>
      </c>
      <c r="K187" s="130">
        <v>70931.3</v>
      </c>
      <c r="L187" s="130">
        <v>70931.3</v>
      </c>
      <c r="M187" s="130">
        <v>70931.3</v>
      </c>
      <c r="N187" s="130">
        <v>70931.3</v>
      </c>
      <c r="O187" s="105">
        <f t="shared" ref="O187:O192" si="44">SUM(C187:N187)</f>
        <v>832991.9700000002</v>
      </c>
    </row>
    <row r="188" spans="1:16" ht="20.25" hidden="1" customHeight="1">
      <c r="A188" s="47" t="s">
        <v>203</v>
      </c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05">
        <f t="shared" si="44"/>
        <v>0</v>
      </c>
    </row>
    <row r="189" spans="1:16" ht="20.25" hidden="1" customHeight="1">
      <c r="A189" s="47" t="s">
        <v>204</v>
      </c>
      <c r="C189" s="130"/>
      <c r="D189" s="130"/>
      <c r="E189" s="130">
        <v>0</v>
      </c>
      <c r="F189" s="130">
        <v>0</v>
      </c>
      <c r="G189" s="130">
        <v>0</v>
      </c>
      <c r="H189" s="130">
        <v>27514.89</v>
      </c>
      <c r="I189" s="130">
        <v>298245.28999999998</v>
      </c>
      <c r="J189" s="130"/>
      <c r="K189" s="130"/>
      <c r="L189" s="130"/>
      <c r="M189" s="130"/>
      <c r="N189" s="130"/>
      <c r="O189" s="105">
        <f t="shared" si="44"/>
        <v>325760.18</v>
      </c>
    </row>
    <row r="190" spans="1:16" ht="20.25" hidden="1" customHeight="1">
      <c r="A190" s="47" t="s">
        <v>205</v>
      </c>
      <c r="C190" s="130">
        <f>516267.34-224998.84-499</f>
        <v>290769.5</v>
      </c>
      <c r="D190" s="130">
        <f>537206.29-499</f>
        <v>536707.29</v>
      </c>
      <c r="E190" s="130">
        <v>509347.75</v>
      </c>
      <c r="F190" s="130">
        <v>520911.88</v>
      </c>
      <c r="G190" s="130">
        <v>520911.88</v>
      </c>
      <c r="H190" s="130">
        <v>520911.88</v>
      </c>
      <c r="I190" s="130">
        <v>530911.88</v>
      </c>
      <c r="J190" s="130">
        <v>530911.88</v>
      </c>
      <c r="K190" s="130">
        <v>530911.88</v>
      </c>
      <c r="L190" s="130">
        <v>530911.88</v>
      </c>
      <c r="M190" s="130">
        <v>520911.88</v>
      </c>
      <c r="N190" s="130">
        <v>520911.88</v>
      </c>
      <c r="O190" s="105">
        <f t="shared" si="44"/>
        <v>6065031.459999999</v>
      </c>
    </row>
    <row r="191" spans="1:16" ht="20.25" hidden="1" customHeight="1">
      <c r="A191" s="65" t="s">
        <v>206</v>
      </c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>
        <v>1800000</v>
      </c>
      <c r="O191" s="105">
        <f t="shared" si="44"/>
        <v>1800000</v>
      </c>
    </row>
    <row r="192" spans="1:16" ht="20.25" hidden="1" customHeight="1">
      <c r="A192" s="65" t="s">
        <v>207</v>
      </c>
      <c r="C192" s="130"/>
      <c r="D192" s="130"/>
      <c r="E192" s="130"/>
      <c r="F192" s="130"/>
      <c r="G192" s="130"/>
      <c r="H192" s="130">
        <v>400000</v>
      </c>
      <c r="I192" s="130"/>
      <c r="J192" s="130"/>
      <c r="K192" s="130"/>
      <c r="L192" s="130"/>
      <c r="M192" s="130"/>
      <c r="N192" s="130"/>
      <c r="O192" s="105">
        <f t="shared" si="44"/>
        <v>400000</v>
      </c>
    </row>
    <row r="193" spans="1:16" ht="20.25" hidden="1" customHeight="1">
      <c r="A193" s="65" t="s">
        <v>1040</v>
      </c>
      <c r="C193" s="130"/>
      <c r="D193" s="130">
        <v>0</v>
      </c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05"/>
    </row>
    <row r="194" spans="1:16" ht="20.25" hidden="1" customHeight="1">
      <c r="A194" s="64" t="s">
        <v>208</v>
      </c>
      <c r="B194" s="7"/>
      <c r="C194" s="106">
        <f t="shared" ref="C194:N194" si="45">SUM(C187:C193)</f>
        <v>356972.88</v>
      </c>
      <c r="D194" s="106">
        <f t="shared" si="45"/>
        <v>602910.57000000007</v>
      </c>
      <c r="E194" s="106">
        <f t="shared" si="45"/>
        <v>575551.36</v>
      </c>
      <c r="F194" s="106">
        <f t="shared" si="45"/>
        <v>589843.18000000005</v>
      </c>
      <c r="G194" s="106">
        <f t="shared" si="45"/>
        <v>589843.18000000005</v>
      </c>
      <c r="H194" s="106">
        <f t="shared" si="45"/>
        <v>1019358.0700000001</v>
      </c>
      <c r="I194" s="106">
        <f t="shared" si="45"/>
        <v>900088.47</v>
      </c>
      <c r="J194" s="106">
        <f t="shared" si="45"/>
        <v>601843.18000000005</v>
      </c>
      <c r="K194" s="106">
        <f t="shared" si="45"/>
        <v>601843.18000000005</v>
      </c>
      <c r="L194" s="106">
        <f t="shared" si="45"/>
        <v>601843.18000000005</v>
      </c>
      <c r="M194" s="106">
        <f t="shared" si="45"/>
        <v>591843.18000000005</v>
      </c>
      <c r="N194" s="106">
        <f t="shared" si="45"/>
        <v>2391843.1800000002</v>
      </c>
      <c r="O194" s="106">
        <f>SUM(O187:O193)</f>
        <v>9423783.6099999994</v>
      </c>
      <c r="P194" s="14"/>
    </row>
    <row r="195" spans="1:16" ht="27.75" customHeight="1">
      <c r="A195" s="66" t="s">
        <v>209</v>
      </c>
      <c r="B195" s="66"/>
      <c r="C195" s="78" t="str">
        <f t="shared" ref="C195:O195" si="46">C186</f>
        <v>Janeiro</v>
      </c>
      <c r="D195" s="78" t="str">
        <f t="shared" si="46"/>
        <v>Fevereiro</v>
      </c>
      <c r="E195" s="78" t="str">
        <f t="shared" si="46"/>
        <v xml:space="preserve">Março </v>
      </c>
      <c r="F195" s="78" t="str">
        <f t="shared" si="46"/>
        <v>Abril</v>
      </c>
      <c r="G195" s="78" t="str">
        <f t="shared" si="46"/>
        <v>Maio</v>
      </c>
      <c r="H195" s="78" t="str">
        <f t="shared" si="46"/>
        <v>Junho</v>
      </c>
      <c r="I195" s="78" t="str">
        <f t="shared" si="46"/>
        <v>Julho</v>
      </c>
      <c r="J195" s="78" t="str">
        <f t="shared" si="46"/>
        <v>Agosto</v>
      </c>
      <c r="K195" s="78" t="str">
        <f t="shared" si="46"/>
        <v>Setembro</v>
      </c>
      <c r="L195" s="78" t="str">
        <f t="shared" si="46"/>
        <v>Outubro</v>
      </c>
      <c r="M195" s="78" t="str">
        <f t="shared" si="46"/>
        <v>Novembro</v>
      </c>
      <c r="N195" s="78" t="str">
        <f t="shared" si="46"/>
        <v>Dezembro</v>
      </c>
      <c r="O195" s="40" t="str">
        <f t="shared" si="46"/>
        <v xml:space="preserve">TOTAL </v>
      </c>
    </row>
    <row r="196" spans="1:16" ht="20.25" hidden="1" customHeight="1">
      <c r="A196" s="68" t="s">
        <v>210</v>
      </c>
      <c r="B196" s="68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47"/>
    </row>
    <row r="197" spans="1:16" ht="20.25" hidden="1" customHeight="1">
      <c r="A197" s="108" t="s">
        <v>1041</v>
      </c>
      <c r="B197" s="101" t="s">
        <v>1000</v>
      </c>
      <c r="C197" s="136">
        <v>0</v>
      </c>
      <c r="D197" s="130">
        <f>C197</f>
        <v>0</v>
      </c>
      <c r="E197" s="130">
        <v>0</v>
      </c>
      <c r="F197" s="130">
        <f t="shared" ref="F197:N197" si="47">E197</f>
        <v>0</v>
      </c>
      <c r="G197" s="130"/>
      <c r="H197" s="130"/>
      <c r="I197" s="130">
        <v>95583</v>
      </c>
      <c r="J197" s="130">
        <f t="shared" si="47"/>
        <v>95583</v>
      </c>
      <c r="K197" s="130">
        <f t="shared" si="47"/>
        <v>95583</v>
      </c>
      <c r="L197" s="130">
        <f t="shared" si="47"/>
        <v>95583</v>
      </c>
      <c r="M197" s="130">
        <f t="shared" si="47"/>
        <v>95583</v>
      </c>
      <c r="N197" s="130">
        <f t="shared" si="47"/>
        <v>95583</v>
      </c>
      <c r="O197" s="105">
        <f t="shared" ref="O197:O208" si="48">SUM(C197:N197)</f>
        <v>573498</v>
      </c>
    </row>
    <row r="198" spans="1:16" ht="20.25" customHeight="1">
      <c r="A198" s="109" t="s">
        <v>212</v>
      </c>
      <c r="B198" s="101" t="s">
        <v>1000</v>
      </c>
      <c r="C198" s="136">
        <v>0</v>
      </c>
      <c r="D198" s="130">
        <v>0</v>
      </c>
      <c r="E198" s="130">
        <v>0</v>
      </c>
      <c r="F198" s="130">
        <v>0</v>
      </c>
      <c r="G198" s="130">
        <v>0</v>
      </c>
      <c r="H198" s="130">
        <v>0</v>
      </c>
      <c r="I198" s="130">
        <v>50000</v>
      </c>
      <c r="J198" s="130">
        <v>50000</v>
      </c>
      <c r="K198" s="130">
        <v>50000</v>
      </c>
      <c r="L198" s="130">
        <v>50000</v>
      </c>
      <c r="M198" s="130">
        <v>50000</v>
      </c>
      <c r="N198" s="130">
        <v>50000</v>
      </c>
      <c r="O198" s="105">
        <f t="shared" si="48"/>
        <v>300000</v>
      </c>
    </row>
    <row r="199" spans="1:16" ht="20.25" customHeight="1">
      <c r="A199" s="109" t="s">
        <v>213</v>
      </c>
      <c r="B199" s="101" t="s">
        <v>1000</v>
      </c>
      <c r="C199" s="136">
        <v>0</v>
      </c>
      <c r="D199" s="130">
        <v>0</v>
      </c>
      <c r="E199" s="130">
        <v>0</v>
      </c>
      <c r="F199" s="130">
        <v>0</v>
      </c>
      <c r="G199" s="130">
        <v>0</v>
      </c>
      <c r="H199" s="130">
        <v>0</v>
      </c>
      <c r="I199" s="130">
        <v>408000</v>
      </c>
      <c r="J199" s="130">
        <v>408000</v>
      </c>
      <c r="K199" s="130">
        <v>408000</v>
      </c>
      <c r="L199" s="130">
        <v>408000</v>
      </c>
      <c r="M199" s="130">
        <v>408000</v>
      </c>
      <c r="N199" s="130">
        <v>408000</v>
      </c>
      <c r="O199" s="105">
        <f t="shared" si="48"/>
        <v>2448000</v>
      </c>
    </row>
    <row r="200" spans="1:16" ht="20.25" hidden="1" customHeight="1">
      <c r="A200" s="4" t="s">
        <v>1042</v>
      </c>
      <c r="B200" s="101" t="s">
        <v>1000</v>
      </c>
      <c r="C200" s="136">
        <v>0</v>
      </c>
      <c r="D200" s="47"/>
      <c r="E200" s="47"/>
      <c r="F200" s="47"/>
      <c r="G200" s="47"/>
      <c r="H200" s="130">
        <v>15000</v>
      </c>
      <c r="I200" s="130">
        <v>15000</v>
      </c>
      <c r="J200" s="130">
        <v>15000</v>
      </c>
      <c r="K200" s="130">
        <v>15000</v>
      </c>
      <c r="L200" s="130">
        <v>15000</v>
      </c>
      <c r="M200" s="130">
        <v>15000</v>
      </c>
      <c r="N200" s="130">
        <v>15000</v>
      </c>
      <c r="O200" s="105">
        <f t="shared" si="48"/>
        <v>105000</v>
      </c>
    </row>
    <row r="201" spans="1:16" ht="20.25" hidden="1" customHeight="1">
      <c r="A201" s="108" t="s">
        <v>215</v>
      </c>
      <c r="B201" s="101" t="s">
        <v>1000</v>
      </c>
      <c r="C201" s="136"/>
      <c r="D201" s="130"/>
      <c r="E201" s="130"/>
      <c r="F201" s="130">
        <v>20000</v>
      </c>
      <c r="G201" s="130">
        <v>20000</v>
      </c>
      <c r="H201" s="130">
        <v>20000</v>
      </c>
      <c r="I201" s="130">
        <v>20000</v>
      </c>
      <c r="J201" s="130">
        <v>20000</v>
      </c>
      <c r="K201" s="130">
        <v>20000</v>
      </c>
      <c r="L201" s="130"/>
      <c r="M201" s="130"/>
      <c r="N201" s="130"/>
      <c r="O201" s="105">
        <f t="shared" si="48"/>
        <v>120000</v>
      </c>
    </row>
    <row r="202" spans="1:16" ht="20.25" hidden="1" customHeight="1">
      <c r="A202" s="110" t="s">
        <v>1043</v>
      </c>
      <c r="B202" s="101" t="s">
        <v>1000</v>
      </c>
      <c r="C202" s="136"/>
      <c r="D202" s="130"/>
      <c r="E202" s="130"/>
      <c r="F202" s="130">
        <v>35000</v>
      </c>
      <c r="G202" s="130"/>
      <c r="H202" s="130"/>
      <c r="I202" s="130"/>
      <c r="J202" s="130"/>
      <c r="K202" s="130"/>
      <c r="L202" s="130"/>
      <c r="M202" s="130"/>
      <c r="N202" s="130"/>
      <c r="O202" s="105">
        <f t="shared" si="48"/>
        <v>35000</v>
      </c>
    </row>
    <row r="203" spans="1:16" ht="20.25" customHeight="1">
      <c r="A203" s="47" t="s">
        <v>1044</v>
      </c>
      <c r="B203" s="101" t="s">
        <v>1024</v>
      </c>
      <c r="C203" s="136"/>
      <c r="D203" s="130"/>
      <c r="E203" s="130">
        <v>0</v>
      </c>
      <c r="F203" s="130"/>
      <c r="G203" s="130"/>
      <c r="H203" s="130">
        <v>0</v>
      </c>
      <c r="I203" s="130">
        <v>0</v>
      </c>
      <c r="J203" s="130">
        <v>0</v>
      </c>
      <c r="K203" s="130">
        <v>163544</v>
      </c>
      <c r="L203" s="130">
        <f>94664.79+163544</f>
        <v>258208.78999999998</v>
      </c>
      <c r="M203" s="130">
        <f>94664.79+163544</f>
        <v>258208.78999999998</v>
      </c>
      <c r="N203" s="130">
        <f>94664.79+163544</f>
        <v>258208.78999999998</v>
      </c>
      <c r="O203" s="105">
        <f t="shared" si="48"/>
        <v>938170.36999999988</v>
      </c>
    </row>
    <row r="204" spans="1:16" ht="20.25" hidden="1" customHeight="1">
      <c r="A204" s="47" t="s">
        <v>1045</v>
      </c>
      <c r="B204" s="101" t="s">
        <v>987</v>
      </c>
      <c r="C204" s="130"/>
      <c r="D204" s="130"/>
      <c r="E204" s="130"/>
      <c r="F204" s="130"/>
      <c r="G204" s="130"/>
      <c r="H204" s="130"/>
      <c r="I204" s="130">
        <v>50000</v>
      </c>
      <c r="J204" s="130">
        <v>50000</v>
      </c>
      <c r="K204" s="130">
        <v>50000</v>
      </c>
      <c r="L204" s="130">
        <v>50000</v>
      </c>
      <c r="M204" s="130"/>
      <c r="N204" s="130"/>
      <c r="O204" s="105">
        <f t="shared" si="48"/>
        <v>200000</v>
      </c>
    </row>
    <row r="205" spans="1:16" ht="20.25" hidden="1" customHeight="1">
      <c r="A205" s="47" t="s">
        <v>1046</v>
      </c>
      <c r="B205" s="101" t="s">
        <v>987</v>
      </c>
      <c r="C205" s="130"/>
      <c r="D205" s="130"/>
      <c r="E205" s="130"/>
      <c r="F205" s="130"/>
      <c r="G205" s="130"/>
      <c r="H205" s="130"/>
      <c r="I205" s="130"/>
      <c r="J205" s="130"/>
      <c r="K205" s="130"/>
      <c r="L205" s="130">
        <v>30000</v>
      </c>
      <c r="M205" s="130">
        <v>30000</v>
      </c>
      <c r="N205" s="130"/>
      <c r="O205" s="105">
        <f t="shared" si="48"/>
        <v>60000</v>
      </c>
    </row>
    <row r="206" spans="1:16" ht="20.25" hidden="1" customHeight="1">
      <c r="A206" s="47" t="s">
        <v>1047</v>
      </c>
      <c r="B206" s="101" t="s">
        <v>987</v>
      </c>
      <c r="C206" s="130"/>
      <c r="D206" s="130"/>
      <c r="E206" s="130"/>
      <c r="F206" s="130"/>
      <c r="G206" s="130"/>
      <c r="H206" s="130"/>
      <c r="I206" s="130"/>
      <c r="J206" s="130"/>
      <c r="K206" s="130">
        <v>60000</v>
      </c>
      <c r="L206" s="130">
        <v>60000</v>
      </c>
      <c r="M206" s="130"/>
      <c r="N206" s="130"/>
      <c r="O206" s="105">
        <f t="shared" si="48"/>
        <v>120000</v>
      </c>
    </row>
    <row r="207" spans="1:16" ht="20.25" hidden="1" customHeight="1">
      <c r="A207" s="65" t="s">
        <v>1048</v>
      </c>
      <c r="B207" s="101" t="s">
        <v>1049</v>
      </c>
      <c r="C207" s="130"/>
      <c r="D207" s="130"/>
      <c r="E207" s="130"/>
      <c r="F207" s="130"/>
      <c r="G207" s="130"/>
      <c r="H207" s="130"/>
      <c r="I207" s="130"/>
      <c r="J207" s="136">
        <v>168700</v>
      </c>
      <c r="K207" s="130"/>
      <c r="L207" s="130"/>
      <c r="M207" s="130"/>
      <c r="N207" s="130"/>
      <c r="O207" s="105">
        <f t="shared" si="48"/>
        <v>168700</v>
      </c>
    </row>
    <row r="208" spans="1:16" ht="20.25" customHeight="1">
      <c r="B208" s="47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05">
        <f t="shared" si="48"/>
        <v>0</v>
      </c>
    </row>
    <row r="209" spans="1:16" ht="20.25" customHeight="1">
      <c r="A209" s="64" t="s">
        <v>216</v>
      </c>
      <c r="B209" s="64"/>
      <c r="C209" s="106">
        <f t="shared" ref="C209:O209" si="49">SUM(C197:C208)</f>
        <v>0</v>
      </c>
      <c r="D209" s="106">
        <f t="shared" si="49"/>
        <v>0</v>
      </c>
      <c r="E209" s="106">
        <f t="shared" si="49"/>
        <v>0</v>
      </c>
      <c r="F209" s="106">
        <f t="shared" si="49"/>
        <v>55000</v>
      </c>
      <c r="G209" s="106">
        <f t="shared" si="49"/>
        <v>20000</v>
      </c>
      <c r="H209" s="106">
        <f t="shared" si="49"/>
        <v>35000</v>
      </c>
      <c r="I209" s="106">
        <f t="shared" si="49"/>
        <v>638583</v>
      </c>
      <c r="J209" s="106">
        <f t="shared" si="49"/>
        <v>807283</v>
      </c>
      <c r="K209" s="106">
        <f t="shared" si="49"/>
        <v>862127</v>
      </c>
      <c r="L209" s="106">
        <f t="shared" si="49"/>
        <v>966791.79</v>
      </c>
      <c r="M209" s="106">
        <f t="shared" si="49"/>
        <v>856791.79</v>
      </c>
      <c r="N209" s="106">
        <f t="shared" si="49"/>
        <v>826791.79</v>
      </c>
      <c r="O209" s="8">
        <f t="shared" si="49"/>
        <v>5068368.37</v>
      </c>
      <c r="P209" s="14"/>
    </row>
    <row r="210" spans="1:16" ht="31.9" hidden="1" customHeight="1">
      <c r="A210" s="66" t="s">
        <v>217</v>
      </c>
      <c r="B210" s="50"/>
      <c r="C210" s="29"/>
      <c r="D210" s="29"/>
      <c r="E210" s="29"/>
      <c r="F210" s="29"/>
      <c r="G210" s="29"/>
      <c r="H210" s="29"/>
      <c r="I210" s="29"/>
      <c r="J210" s="29"/>
      <c r="K210" s="10"/>
      <c r="L210" s="10"/>
      <c r="M210" s="10"/>
      <c r="N210" s="10"/>
      <c r="O210" s="47"/>
    </row>
    <row r="211" spans="1:16" ht="20.25" hidden="1" customHeight="1">
      <c r="A211" s="47" t="s">
        <v>218</v>
      </c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47"/>
    </row>
    <row r="212" spans="1:16" ht="20.25" hidden="1" customHeight="1">
      <c r="A212" s="64" t="s">
        <v>208</v>
      </c>
      <c r="B212" s="7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47"/>
    </row>
    <row r="213" spans="1:16" ht="20.25" customHeight="1">
      <c r="A213" s="69" t="s">
        <v>219</v>
      </c>
      <c r="B213" s="53"/>
      <c r="C213" s="12">
        <f t="shared" ref="C213:O213" si="50">C22+C41+C50+C53+C63+C89+C118+C146+C157+C164+C185+C194+C209+C212</f>
        <v>8085800.1594169997</v>
      </c>
      <c r="D213" s="12" t="e">
        <f t="shared" si="50"/>
        <v>#REF!</v>
      </c>
      <c r="E213" s="12">
        <f t="shared" si="50"/>
        <v>8967123.81171</v>
      </c>
      <c r="F213" s="12" t="e">
        <f t="shared" si="50"/>
        <v>#REF!</v>
      </c>
      <c r="G213" s="12" t="e">
        <f t="shared" si="50"/>
        <v>#REF!</v>
      </c>
      <c r="H213" s="12" t="e">
        <f t="shared" si="50"/>
        <v>#REF!</v>
      </c>
      <c r="I213" s="12" t="e">
        <f t="shared" si="50"/>
        <v>#REF!</v>
      </c>
      <c r="J213" s="12" t="e">
        <f t="shared" si="50"/>
        <v>#REF!</v>
      </c>
      <c r="K213" s="12" t="e">
        <f t="shared" si="50"/>
        <v>#REF!</v>
      </c>
      <c r="L213" s="12" t="e">
        <f t="shared" si="50"/>
        <v>#REF!</v>
      </c>
      <c r="M213" s="12" t="e">
        <f t="shared" si="50"/>
        <v>#REF!</v>
      </c>
      <c r="N213" s="12" t="e">
        <f t="shared" si="50"/>
        <v>#REF!</v>
      </c>
      <c r="O213" s="12" t="e">
        <f t="shared" si="50"/>
        <v>#REF!</v>
      </c>
    </row>
    <row r="214" spans="1:16">
      <c r="A214" s="58"/>
      <c r="B214" s="51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47"/>
    </row>
    <row r="215" spans="1:16" ht="31.9" customHeight="1">
      <c r="A215" s="70" t="s">
        <v>220</v>
      </c>
      <c r="B215" s="17"/>
      <c r="C215" s="18" t="e">
        <f>#REF!-'DESPESAS 2018Inv'!C213+C209+C164+C9</f>
        <v>#REF!</v>
      </c>
      <c r="D215" s="18" t="e">
        <f>#REF!-'DESPESAS 2018Inv'!D213+D209+D164+D9</f>
        <v>#REF!</v>
      </c>
      <c r="E215" s="18" t="e">
        <f>#REF!-'DESPESAS 2018Inv'!E213+E209+E164+E9</f>
        <v>#REF!</v>
      </c>
      <c r="F215" s="18" t="e">
        <f>#REF!-'DESPESAS 2018Inv'!F213+F209+F164+F9</f>
        <v>#REF!</v>
      </c>
      <c r="G215" s="18" t="e">
        <f>#REF!-'DESPESAS 2018Inv'!G213+G209+G164+G9</f>
        <v>#REF!</v>
      </c>
      <c r="H215" s="18" t="e">
        <f>#REF!-'DESPESAS 2018Inv'!H213+H209+H164+H9</f>
        <v>#REF!</v>
      </c>
      <c r="I215" s="18" t="e">
        <f>#REF!-'DESPESAS 2018Inv'!I213+I209+I164+I9</f>
        <v>#REF!</v>
      </c>
      <c r="J215" s="18" t="e">
        <f>#REF!-'DESPESAS 2018Inv'!J213+J209+J164+J9</f>
        <v>#REF!</v>
      </c>
      <c r="K215" s="18" t="e">
        <f>#REF!-'DESPESAS 2018Inv'!K213+K209+K164+K9</f>
        <v>#REF!</v>
      </c>
      <c r="L215" s="18" t="e">
        <f>#REF!-'DESPESAS 2018Inv'!L213+L209+L164+L9</f>
        <v>#REF!</v>
      </c>
      <c r="M215" s="18" t="e">
        <f>#REF!-'DESPESAS 2018Inv'!M213+M209+M164+M9</f>
        <v>#REF!</v>
      </c>
      <c r="N215" s="18" t="e">
        <f>#REF!-'DESPESAS 2018Inv'!N213+N209+N164+N9</f>
        <v>#REF!</v>
      </c>
      <c r="O215" s="128" t="e">
        <f>SUM(C215:N215)</f>
        <v>#REF!</v>
      </c>
    </row>
    <row r="216" spans="1:16" ht="13.9">
      <c r="A216" s="71"/>
      <c r="B216" s="54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47"/>
    </row>
    <row r="217" spans="1:16" ht="31.9" customHeight="1">
      <c r="A217" s="55" t="s">
        <v>221</v>
      </c>
      <c r="B217" s="55"/>
      <c r="C217" s="37" t="e">
        <f>#REF!-'DESPESAS 2018Inv'!C213+'DESPESAS 2018Inv'!C194+C181-29390.35+C10</f>
        <v>#REF!</v>
      </c>
      <c r="D217" s="37" t="e">
        <f>#REF!-'DESPESAS 2018Inv'!D213+'DESPESAS 2018Inv'!D194+D181-28585.96+D10</f>
        <v>#REF!</v>
      </c>
      <c r="E217" s="37" t="e">
        <f>#REF!-'DESPESAS 2018Inv'!E213+'DESPESAS 2018Inv'!E194+E181-28830.35+E10</f>
        <v>#REF!</v>
      </c>
      <c r="F217" s="37" t="e">
        <f>#REF!-'DESPESAS 2018Inv'!F213+'DESPESAS 2018Inv'!F194+F181-29390.35+F10</f>
        <v>#REF!</v>
      </c>
      <c r="G217" s="37" t="e">
        <f>#REF!-'DESPESAS 2018Inv'!G213+'DESPESAS 2018Inv'!G194+G181-29390.35+G10</f>
        <v>#REF!</v>
      </c>
      <c r="H217" s="37" t="e">
        <f>#REF!-'DESPESAS 2018Inv'!H213+'DESPESAS 2018Inv'!H194+H181-29390.35+H10</f>
        <v>#REF!</v>
      </c>
      <c r="I217" s="37" t="e">
        <f>#REF!-'DESPESAS 2018Inv'!I213+'DESPESAS 2018Inv'!I194+I181-29390.35+I10</f>
        <v>#REF!</v>
      </c>
      <c r="J217" s="37" t="e">
        <f>#REF!-'DESPESAS 2018Inv'!J213+'DESPESAS 2018Inv'!J194+J181-29390.35+J10</f>
        <v>#REF!</v>
      </c>
      <c r="K217" s="37" t="e">
        <f>#REF!-'DESPESAS 2018Inv'!K213+'DESPESAS 2018Inv'!K194+K181-29390.35+K10</f>
        <v>#REF!</v>
      </c>
      <c r="L217" s="37" t="e">
        <f>#REF!-'DESPESAS 2018Inv'!L213+'DESPESAS 2018Inv'!L194+L181-29390.35+L10</f>
        <v>#REF!</v>
      </c>
      <c r="M217" s="37" t="e">
        <f>#REF!-'DESPESAS 2018Inv'!M213+'DESPESAS 2018Inv'!M194+M181-29390.35+M10</f>
        <v>#REF!</v>
      </c>
      <c r="N217" s="37" t="e">
        <f>#REF!-'DESPESAS 2018Inv'!N213+'DESPESAS 2018Inv'!N194+N181-29390.35+N10</f>
        <v>#REF!</v>
      </c>
      <c r="O217" s="129" t="e">
        <f>SUM(C217:N217)</f>
        <v>#REF!</v>
      </c>
    </row>
    <row r="218" spans="1:16" ht="13.9" hidden="1">
      <c r="A218" s="72"/>
      <c r="B218" s="56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1:16" ht="31.9" hidden="1" customHeight="1">
      <c r="A219" s="70" t="s">
        <v>222</v>
      </c>
      <c r="B219" s="17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26"/>
    </row>
    <row r="220" spans="1:16">
      <c r="A220" s="58"/>
      <c r="B220" s="5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6" hidden="1">
      <c r="A221" s="73" t="s">
        <v>223</v>
      </c>
      <c r="B221" s="57"/>
      <c r="C221" s="21"/>
      <c r="D221" s="21"/>
      <c r="E221" s="21"/>
      <c r="F221" s="21"/>
      <c r="G221" s="25"/>
      <c r="H221" s="22"/>
      <c r="I221" s="22"/>
      <c r="J221" s="22"/>
      <c r="K221" s="23"/>
    </row>
    <row r="222" spans="1:16" hidden="1">
      <c r="A222" s="58" t="s">
        <v>225</v>
      </c>
      <c r="B222" s="51"/>
      <c r="C222" s="19"/>
      <c r="D222" s="19"/>
      <c r="E222" s="19"/>
      <c r="F222" s="14"/>
      <c r="G222" s="14"/>
      <c r="J222" s="14"/>
      <c r="K222" s="14"/>
    </row>
    <row r="223" spans="1:16" hidden="1">
      <c r="A223" s="58" t="s">
        <v>226</v>
      </c>
      <c r="B223" s="51"/>
      <c r="C223" s="19"/>
      <c r="D223" s="19"/>
      <c r="E223" s="19"/>
      <c r="F223" s="14"/>
      <c r="G223" s="14"/>
      <c r="K223" s="14"/>
    </row>
    <row r="224" spans="1:16" hidden="1">
      <c r="A224" s="58" t="s">
        <v>227</v>
      </c>
      <c r="B224" s="51"/>
      <c r="C224" s="20"/>
      <c r="D224" s="20"/>
      <c r="E224" s="20"/>
      <c r="F224" s="24"/>
      <c r="G224" s="24"/>
      <c r="K224" s="14"/>
    </row>
    <row r="225" spans="1:11" hidden="1">
      <c r="A225" s="58" t="s">
        <v>228</v>
      </c>
      <c r="B225" s="51"/>
      <c r="C225" s="19"/>
      <c r="E225" s="19"/>
      <c r="F225" s="14"/>
      <c r="G225" s="14"/>
      <c r="K225" s="14"/>
    </row>
    <row r="226" spans="1:11">
      <c r="A226" s="111" t="s">
        <v>938</v>
      </c>
      <c r="B226" s="112"/>
      <c r="C226" s="113"/>
      <c r="E226" s="19"/>
      <c r="F226" s="14"/>
      <c r="G226" s="14"/>
      <c r="K226" s="14"/>
    </row>
    <row r="227" spans="1:11">
      <c r="A227" s="114" t="s">
        <v>919</v>
      </c>
      <c r="B227" s="1"/>
      <c r="C227" s="115" t="e">
        <f>#REF!</f>
        <v>#REF!</v>
      </c>
      <c r="E227" s="19"/>
      <c r="F227" s="14"/>
      <c r="G227" s="14"/>
      <c r="K227" s="14"/>
    </row>
    <row r="228" spans="1:11">
      <c r="A228" s="114" t="s">
        <v>921</v>
      </c>
      <c r="B228" s="1"/>
      <c r="C228" s="115" t="e">
        <f>O213</f>
        <v>#REF!</v>
      </c>
      <c r="E228" s="19"/>
      <c r="F228" s="14"/>
      <c r="G228" s="14"/>
      <c r="K228" s="14"/>
    </row>
    <row r="229" spans="1:11">
      <c r="A229" s="114" t="s">
        <v>922</v>
      </c>
      <c r="B229" s="1"/>
      <c r="C229" s="115" t="e">
        <f>C227-C228</f>
        <v>#REF!</v>
      </c>
      <c r="E229" s="19"/>
      <c r="F229" s="14"/>
      <c r="G229" s="14"/>
      <c r="K229" s="14"/>
    </row>
    <row r="230" spans="1:11">
      <c r="A230" s="114" t="s">
        <v>1050</v>
      </c>
      <c r="B230" s="1"/>
      <c r="C230" s="115">
        <f>O209</f>
        <v>5068368.37</v>
      </c>
      <c r="E230" s="19"/>
      <c r="F230" s="14"/>
      <c r="G230" s="14"/>
      <c r="K230" s="14"/>
    </row>
    <row r="231" spans="1:11">
      <c r="A231" s="114" t="s">
        <v>1051</v>
      </c>
      <c r="B231" s="1"/>
      <c r="C231" s="115">
        <f>O164</f>
        <v>4975936.8099999996</v>
      </c>
      <c r="E231" s="19"/>
      <c r="F231" s="14"/>
      <c r="G231" s="14"/>
      <c r="K231" s="14"/>
    </row>
    <row r="232" spans="1:11">
      <c r="A232" s="114" t="s">
        <v>1052</v>
      </c>
      <c r="B232" s="1"/>
      <c r="C232" s="116">
        <f>O9</f>
        <v>2900000</v>
      </c>
      <c r="E232" s="19"/>
      <c r="F232" s="14"/>
      <c r="G232" s="14"/>
      <c r="K232" s="14"/>
    </row>
    <row r="233" spans="1:11">
      <c r="A233" s="117" t="s">
        <v>220</v>
      </c>
      <c r="B233" s="1"/>
      <c r="C233" s="118" t="e">
        <f>SUM(C229:C232)</f>
        <v>#REF!</v>
      </c>
      <c r="E233" s="19"/>
      <c r="F233" s="14"/>
      <c r="G233" s="14"/>
      <c r="K233" s="14"/>
    </row>
    <row r="234" spans="1:11">
      <c r="A234" s="112"/>
      <c r="B234" s="1"/>
      <c r="C234" s="119"/>
      <c r="E234" s="19"/>
      <c r="F234" s="14"/>
      <c r="G234" s="14"/>
      <c r="K234" s="14"/>
    </row>
    <row r="235" spans="1:11">
      <c r="A235" s="120" t="s">
        <v>947</v>
      </c>
      <c r="B235" s="1"/>
      <c r="C235" s="119"/>
      <c r="E235" s="19"/>
      <c r="F235" s="14"/>
      <c r="G235" s="14"/>
      <c r="K235" s="14"/>
    </row>
    <row r="236" spans="1:11">
      <c r="A236" s="117" t="s">
        <v>1053</v>
      </c>
      <c r="B236" s="1"/>
      <c r="C236" s="115" t="e">
        <f>#REF!</f>
        <v>#REF!</v>
      </c>
      <c r="E236" s="19"/>
      <c r="F236" s="14"/>
      <c r="G236" s="14"/>
      <c r="K236" s="14"/>
    </row>
    <row r="237" spans="1:11">
      <c r="A237" s="114" t="s">
        <v>921</v>
      </c>
      <c r="B237" s="1"/>
      <c r="C237" s="115" t="e">
        <f>O213</f>
        <v>#REF!</v>
      </c>
      <c r="E237" s="19"/>
      <c r="F237" s="14"/>
      <c r="G237" s="14"/>
      <c r="K237" s="14"/>
    </row>
    <row r="238" spans="1:11">
      <c r="A238" s="114" t="s">
        <v>923</v>
      </c>
      <c r="B238" s="1"/>
      <c r="C238" s="115" t="e">
        <f>C236-C237</f>
        <v>#REF!</v>
      </c>
      <c r="E238" s="19"/>
      <c r="F238" s="14"/>
      <c r="G238" s="14"/>
      <c r="K238" s="14"/>
    </row>
    <row r="239" spans="1:11">
      <c r="A239" s="121" t="s">
        <v>925</v>
      </c>
      <c r="B239" s="1"/>
      <c r="C239" s="122">
        <f>O194</f>
        <v>9423783.6099999994</v>
      </c>
      <c r="E239" s="19"/>
      <c r="F239" s="14"/>
      <c r="G239" s="14"/>
      <c r="K239" s="14"/>
    </row>
    <row r="240" spans="1:11">
      <c r="A240" s="121" t="s">
        <v>927</v>
      </c>
      <c r="B240" s="1"/>
      <c r="C240" s="122" t="e">
        <f>O181</f>
        <v>#REF!</v>
      </c>
      <c r="E240" s="19"/>
      <c r="F240" s="14"/>
      <c r="G240" s="14"/>
      <c r="K240" s="14"/>
    </row>
    <row r="241" spans="1:11">
      <c r="A241" s="121" t="s">
        <v>929</v>
      </c>
      <c r="B241" s="1"/>
      <c r="C241" s="122">
        <f>O10</f>
        <v>4096746.3068741672</v>
      </c>
      <c r="E241" s="19"/>
      <c r="F241" s="14"/>
      <c r="G241" s="14"/>
      <c r="K241" s="14"/>
    </row>
    <row r="242" spans="1:11">
      <c r="A242" s="121" t="s">
        <v>1054</v>
      </c>
      <c r="B242" s="1"/>
      <c r="C242" s="123">
        <v>-351319.81</v>
      </c>
      <c r="E242" s="19"/>
      <c r="F242" s="14"/>
      <c r="G242" s="14"/>
      <c r="K242" s="14"/>
    </row>
    <row r="243" spans="1:11">
      <c r="A243" s="121" t="s">
        <v>221</v>
      </c>
      <c r="B243" s="1"/>
      <c r="C243" s="124" t="e">
        <f>SUM(C238:C242)</f>
        <v>#REF!</v>
      </c>
      <c r="E243" s="19"/>
      <c r="F243" s="14"/>
      <c r="G243" s="14"/>
      <c r="K243" s="14"/>
    </row>
    <row r="244" spans="1:11">
      <c r="A244" s="125"/>
      <c r="B244" s="126"/>
      <c r="E244" s="19"/>
      <c r="F244" s="14"/>
      <c r="G244" s="14"/>
      <c r="K244" s="14"/>
    </row>
    <row r="245" spans="1:11" hidden="1">
      <c r="A245" s="58"/>
      <c r="B245" s="51"/>
      <c r="C245" s="19"/>
      <c r="E245" s="19"/>
      <c r="F245" s="14"/>
      <c r="G245" s="14"/>
      <c r="K245" s="14"/>
    </row>
    <row r="246" spans="1:11" hidden="1">
      <c r="A246" s="58"/>
      <c r="B246" s="51"/>
      <c r="C246" s="19"/>
      <c r="D246" s="19"/>
      <c r="E246" s="19"/>
      <c r="F246" s="14"/>
      <c r="G246" s="14"/>
      <c r="K246" s="14"/>
    </row>
    <row r="247" spans="1:11" hidden="1">
      <c r="A247" s="58"/>
      <c r="B247" s="51"/>
      <c r="C247" s="19"/>
      <c r="D247" s="19"/>
      <c r="E247" s="19"/>
      <c r="F247" s="14"/>
      <c r="G247" s="14"/>
      <c r="K247" s="14"/>
    </row>
    <row r="248" spans="1:11" hidden="1">
      <c r="A248" s="58"/>
      <c r="B248" s="51"/>
      <c r="C248" s="19"/>
      <c r="D248" s="19"/>
      <c r="E248" s="19"/>
      <c r="F248" s="14"/>
      <c r="G248" s="14"/>
      <c r="K248" s="14"/>
    </row>
    <row r="249" spans="1:11" hidden="1">
      <c r="A249" s="58" t="s">
        <v>231</v>
      </c>
      <c r="B249" s="51"/>
      <c r="C249" s="19"/>
    </row>
    <row r="250" spans="1:11" hidden="1">
      <c r="A250" s="58" t="s">
        <v>1055</v>
      </c>
      <c r="B250" s="51"/>
      <c r="C250" s="30"/>
      <c r="D250" s="30"/>
      <c r="E250" s="30"/>
    </row>
    <row r="251" spans="1:11" hidden="1">
      <c r="A251" s="58" t="s">
        <v>1056</v>
      </c>
      <c r="B251" s="51"/>
      <c r="C251" s="30"/>
      <c r="D251" s="30"/>
      <c r="E251" s="30"/>
    </row>
    <row r="252" spans="1:11" hidden="1">
      <c r="A252" s="58" t="s">
        <v>1057</v>
      </c>
      <c r="B252" s="51"/>
      <c r="C252" s="30"/>
      <c r="D252" s="30"/>
      <c r="E252" s="30"/>
    </row>
    <row r="253" spans="1:11" hidden="1">
      <c r="A253" s="58" t="s">
        <v>235</v>
      </c>
      <c r="B253" s="51"/>
      <c r="C253" s="30"/>
      <c r="D253" s="30"/>
      <c r="E253" s="30"/>
    </row>
    <row r="254" spans="1:11" hidden="1">
      <c r="A254" s="58" t="s">
        <v>1058</v>
      </c>
      <c r="B254" s="51"/>
      <c r="C254" s="30"/>
      <c r="D254" s="30"/>
      <c r="E254" s="30"/>
    </row>
    <row r="255" spans="1:11" hidden="1">
      <c r="A255" s="58" t="s">
        <v>237</v>
      </c>
      <c r="B255" s="51"/>
      <c r="C255" s="30"/>
      <c r="D255" s="30"/>
      <c r="E255" s="30"/>
    </row>
    <row r="256" spans="1:11" hidden="1">
      <c r="A256" s="58" t="s">
        <v>239</v>
      </c>
      <c r="B256" s="51"/>
      <c r="C256" s="30"/>
      <c r="D256" s="30"/>
      <c r="E256" s="30"/>
    </row>
    <row r="257" spans="1:9" hidden="1">
      <c r="A257" s="58" t="s">
        <v>1059</v>
      </c>
      <c r="B257" s="58"/>
      <c r="C257" s="31"/>
      <c r="D257" s="31"/>
      <c r="E257" s="31"/>
      <c r="F257" s="4"/>
      <c r="G257" s="4"/>
      <c r="H257" s="4"/>
      <c r="I257" s="4"/>
    </row>
    <row r="258" spans="1:9" hidden="1">
      <c r="A258" s="58"/>
      <c r="B258" s="51"/>
      <c r="C258" s="31"/>
      <c r="D258" s="31"/>
      <c r="E258" s="31"/>
      <c r="F258" s="4"/>
      <c r="G258" s="4"/>
      <c r="H258" s="4"/>
      <c r="I258" s="4"/>
    </row>
    <row r="259" spans="1:9" hidden="1">
      <c r="A259" s="58"/>
      <c r="B259" s="58"/>
      <c r="C259" s="31"/>
      <c r="D259" s="31"/>
      <c r="E259" s="31"/>
      <c r="F259" s="4"/>
      <c r="G259" s="4"/>
      <c r="H259" s="4"/>
      <c r="I259" s="4"/>
    </row>
    <row r="260" spans="1:9" hidden="1">
      <c r="A260" s="58" t="s">
        <v>1060</v>
      </c>
      <c r="B260" s="58"/>
      <c r="C260" s="31"/>
      <c r="D260" s="31"/>
      <c r="E260" s="31"/>
      <c r="F260" s="4"/>
      <c r="G260" s="4"/>
      <c r="H260" s="4"/>
      <c r="I260" s="4"/>
    </row>
    <row r="261" spans="1:9" hidden="1">
      <c r="A261" s="58" t="s">
        <v>1061</v>
      </c>
      <c r="B261" s="59"/>
      <c r="C261" s="30"/>
      <c r="D261" s="30"/>
      <c r="E261" s="30"/>
    </row>
    <row r="262" spans="1:9" hidden="1">
      <c r="A262" s="65"/>
      <c r="B262" s="48"/>
      <c r="C262" s="30"/>
      <c r="D262" s="30"/>
      <c r="E262" s="30"/>
    </row>
    <row r="263" spans="1:9" hidden="1">
      <c r="A263" s="58" t="s">
        <v>1062</v>
      </c>
      <c r="B263" s="48"/>
      <c r="C263" s="30"/>
      <c r="D263" s="30"/>
      <c r="E263" s="30"/>
    </row>
    <row r="264" spans="1:9" hidden="1">
      <c r="A264" s="58"/>
      <c r="B264" s="58"/>
      <c r="C264" s="30"/>
      <c r="D264" s="30"/>
      <c r="E264" s="30"/>
    </row>
    <row r="265" spans="1:9" hidden="1">
      <c r="A265" s="65"/>
      <c r="B265" s="48"/>
      <c r="C265" s="30"/>
      <c r="D265" s="30"/>
      <c r="E265" s="30"/>
    </row>
    <row r="266" spans="1:9" hidden="1">
      <c r="A266" s="65"/>
      <c r="B266" s="48"/>
      <c r="C266" s="30"/>
      <c r="D266" s="30"/>
      <c r="E266" s="30"/>
    </row>
    <row r="267" spans="1:9" hidden="1">
      <c r="A267" s="65"/>
      <c r="B267" s="48"/>
      <c r="C267" s="30"/>
      <c r="D267" s="30"/>
      <c r="E267" s="30"/>
    </row>
    <row r="268" spans="1:9" hidden="1">
      <c r="A268" s="65"/>
      <c r="B268" s="48"/>
      <c r="C268" s="30"/>
      <c r="D268" s="30"/>
      <c r="E268" s="30"/>
    </row>
    <row r="269" spans="1:9" hidden="1">
      <c r="A269" s="65"/>
      <c r="B269" s="48"/>
      <c r="C269" s="30"/>
      <c r="D269" s="30"/>
      <c r="E269" s="30"/>
    </row>
    <row r="270" spans="1:9" hidden="1">
      <c r="A270" s="65"/>
      <c r="B270" s="48"/>
      <c r="C270" s="30"/>
      <c r="D270" s="30"/>
      <c r="E270" s="30"/>
    </row>
    <row r="271" spans="1:9" hidden="1">
      <c r="A271" s="65"/>
      <c r="B271" s="48"/>
      <c r="C271" s="30"/>
      <c r="D271" s="30"/>
      <c r="E271" s="30"/>
    </row>
    <row r="272" spans="1:9" hidden="1">
      <c r="A272" s="58"/>
      <c r="B272" s="58"/>
      <c r="C272" s="30"/>
      <c r="D272" s="30"/>
      <c r="E272" s="30"/>
    </row>
    <row r="273" spans="1:5" hidden="1">
      <c r="A273" s="65"/>
      <c r="B273" s="48"/>
      <c r="C273" s="30"/>
      <c r="D273" s="30"/>
      <c r="E273" s="30"/>
    </row>
    <row r="274" spans="1:5" hidden="1">
      <c r="A274" s="65"/>
      <c r="B274" s="48"/>
      <c r="C274" s="30"/>
      <c r="D274" s="30"/>
      <c r="E274" s="30"/>
    </row>
    <row r="275" spans="1:5" hidden="1">
      <c r="A275" s="58"/>
      <c r="B275" s="58"/>
      <c r="C275" s="30"/>
      <c r="D275" s="30"/>
      <c r="E275" s="30"/>
    </row>
    <row r="276" spans="1:5" hidden="1">
      <c r="A276" s="65"/>
      <c r="B276" s="48"/>
      <c r="C276" s="30"/>
      <c r="D276" s="30"/>
      <c r="E276" s="30"/>
    </row>
    <row r="277" spans="1:5" hidden="1">
      <c r="A277" s="65"/>
      <c r="B277" s="48"/>
      <c r="C277" s="30"/>
      <c r="D277" s="30"/>
      <c r="E277" s="30"/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79"/>
  <sheetViews>
    <sheetView topLeftCell="A197" zoomScale="170" zoomScaleNormal="170" workbookViewId="0">
      <pane xSplit="2" topLeftCell="O1" activePane="topRight" state="frozen"/>
      <selection pane="topRight" activeCell="C217" sqref="C217"/>
    </sheetView>
  </sheetViews>
  <sheetFormatPr defaultColWidth="9.140625" defaultRowHeight="13.15"/>
  <cols>
    <col min="1" max="1" width="54.7109375" style="47" customWidth="1"/>
    <col min="2" max="2" width="38.7109375" style="9" hidden="1" customWidth="1"/>
    <col min="3" max="6" width="14.140625" style="1" customWidth="1"/>
    <col min="7" max="7" width="16.28515625" style="1" customWidth="1"/>
    <col min="8" max="8" width="14.7109375" style="1" customWidth="1"/>
    <col min="9" max="9" width="14.140625" style="1" customWidth="1"/>
    <col min="10" max="10" width="15.7109375" style="1" customWidth="1"/>
    <col min="11" max="11" width="15.28515625" style="1" customWidth="1"/>
    <col min="12" max="12" width="14.140625" style="1" customWidth="1"/>
    <col min="13" max="14" width="14.7109375" style="1" customWidth="1"/>
    <col min="15" max="15" width="15" style="1" bestFit="1" customWidth="1"/>
    <col min="16" max="16" width="13.7109375" style="1" bestFit="1" customWidth="1"/>
    <col min="17" max="16384" width="9.140625" style="1"/>
  </cols>
  <sheetData>
    <row r="1" spans="1:15" ht="29.25" customHeight="1">
      <c r="A1" s="461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3"/>
    </row>
    <row r="2" spans="1:15" ht="29.25" customHeight="1">
      <c r="A2" s="62" t="s">
        <v>1</v>
      </c>
      <c r="B2" s="45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25.5" customHeight="1">
      <c r="A3" s="63" t="s">
        <v>2</v>
      </c>
      <c r="B3" s="46"/>
      <c r="C3" s="41" t="s">
        <v>336</v>
      </c>
      <c r="D3" s="41" t="s">
        <v>337</v>
      </c>
      <c r="E3" s="41" t="s">
        <v>338</v>
      </c>
      <c r="F3" s="41" t="s">
        <v>339</v>
      </c>
      <c r="G3" s="41" t="s">
        <v>340</v>
      </c>
      <c r="H3" s="41" t="s">
        <v>341</v>
      </c>
      <c r="I3" s="41" t="s">
        <v>342</v>
      </c>
      <c r="J3" s="41" t="s">
        <v>343</v>
      </c>
      <c r="K3" s="41" t="s">
        <v>344</v>
      </c>
      <c r="L3" s="41" t="s">
        <v>345</v>
      </c>
      <c r="M3" s="41" t="s">
        <v>346</v>
      </c>
      <c r="N3" s="41" t="s">
        <v>347</v>
      </c>
      <c r="O3" s="40" t="s">
        <v>352</v>
      </c>
    </row>
    <row r="4" spans="1:15" ht="20.25" customHeight="1">
      <c r="A4" s="47" t="s">
        <v>968</v>
      </c>
      <c r="C4" s="130">
        <v>121618.51</v>
      </c>
      <c r="D4" s="130">
        <v>84507.04</v>
      </c>
      <c r="E4" s="130">
        <v>59463.78</v>
      </c>
      <c r="F4" s="130">
        <v>82937.83</v>
      </c>
      <c r="G4" s="130">
        <v>82937.83</v>
      </c>
      <c r="H4" s="130">
        <v>82937.83</v>
      </c>
      <c r="I4" s="130">
        <v>82937.83</v>
      </c>
      <c r="J4" s="130">
        <v>82937.83</v>
      </c>
      <c r="K4" s="130">
        <v>82937.83</v>
      </c>
      <c r="L4" s="130">
        <v>82937.83</v>
      </c>
      <c r="M4" s="130">
        <v>82937.83</v>
      </c>
      <c r="N4" s="130">
        <v>82937.83</v>
      </c>
      <c r="O4" s="105">
        <f>SUM(C4:N4)</f>
        <v>1012029.7999999998</v>
      </c>
    </row>
    <row r="5" spans="1:15" ht="20.25" customHeight="1">
      <c r="A5" s="47" t="s">
        <v>18</v>
      </c>
      <c r="C5" s="130">
        <v>511159.65</v>
      </c>
      <c r="D5" s="130">
        <v>511046.79</v>
      </c>
      <c r="E5" s="130">
        <v>512000</v>
      </c>
      <c r="F5" s="130">
        <v>510614.07</v>
      </c>
      <c r="G5" s="130">
        <v>513000</v>
      </c>
      <c r="H5" s="130">
        <v>513500</v>
      </c>
      <c r="I5" s="130">
        <v>514000</v>
      </c>
      <c r="J5" s="130">
        <v>514500</v>
      </c>
      <c r="K5" s="130">
        <v>515000</v>
      </c>
      <c r="L5" s="130">
        <v>515500</v>
      </c>
      <c r="M5" s="130">
        <v>516000</v>
      </c>
      <c r="N5" s="130">
        <v>516500</v>
      </c>
      <c r="O5" s="105">
        <f t="shared" ref="O5:O21" si="0">SUM(C5:N5)</f>
        <v>6162820.5099999998</v>
      </c>
    </row>
    <row r="6" spans="1:15" ht="20.25" customHeight="1">
      <c r="A6" s="47" t="s">
        <v>19</v>
      </c>
      <c r="B6" s="47"/>
      <c r="C6" s="130">
        <v>471406.89</v>
      </c>
      <c r="D6" s="130">
        <v>478307.29</v>
      </c>
      <c r="E6" s="130">
        <v>475040.51</v>
      </c>
      <c r="F6" s="130">
        <v>496775</v>
      </c>
      <c r="G6" s="130">
        <v>496775</v>
      </c>
      <c r="H6" s="130">
        <v>496775</v>
      </c>
      <c r="I6" s="130">
        <v>496775</v>
      </c>
      <c r="J6" s="130">
        <v>556539.44999999995</v>
      </c>
      <c r="K6" s="130">
        <v>556539.44999999995</v>
      </c>
      <c r="L6" s="130">
        <v>556539.44999999995</v>
      </c>
      <c r="M6" s="130">
        <v>556539.44999999995</v>
      </c>
      <c r="N6" s="130">
        <v>556539.44999999995</v>
      </c>
      <c r="O6" s="105">
        <f t="shared" si="0"/>
        <v>6194551.9400000004</v>
      </c>
    </row>
    <row r="7" spans="1:15" ht="20.25" hidden="1" customHeight="1">
      <c r="A7" s="47" t="s">
        <v>20</v>
      </c>
      <c r="B7" s="47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05">
        <f t="shared" si="0"/>
        <v>0</v>
      </c>
    </row>
    <row r="8" spans="1:15" ht="20.25" customHeight="1">
      <c r="A8" s="47" t="s">
        <v>21</v>
      </c>
      <c r="B8" s="94" t="s">
        <v>969</v>
      </c>
      <c r="C8" s="130">
        <v>243057.89</v>
      </c>
      <c r="D8" s="130">
        <v>223514.19</v>
      </c>
      <c r="E8" s="130">
        <v>223514.19</v>
      </c>
      <c r="F8" s="130">
        <v>223514.19</v>
      </c>
      <c r="G8" s="130">
        <v>223514.19</v>
      </c>
      <c r="H8" s="130">
        <v>223514.19</v>
      </c>
      <c r="I8" s="130">
        <v>223514.19</v>
      </c>
      <c r="J8" s="130">
        <v>223514.19</v>
      </c>
      <c r="K8" s="130">
        <v>223514.19</v>
      </c>
      <c r="L8" s="130">
        <v>223514.19</v>
      </c>
      <c r="M8" s="130">
        <v>223514.19</v>
      </c>
      <c r="N8" s="130">
        <v>223514.19</v>
      </c>
      <c r="O8" s="105">
        <f t="shared" si="0"/>
        <v>2701713.9799999995</v>
      </c>
    </row>
    <row r="9" spans="1:15" ht="20.25" customHeight="1">
      <c r="A9" s="65" t="s">
        <v>970</v>
      </c>
      <c r="B9" s="92"/>
      <c r="C9" s="131"/>
      <c r="D9" s="131"/>
      <c r="E9" s="131"/>
      <c r="F9" s="131"/>
      <c r="G9" s="131"/>
      <c r="H9" s="130">
        <v>1500000</v>
      </c>
      <c r="I9" s="131"/>
      <c r="J9" s="131"/>
      <c r="K9" s="131"/>
      <c r="L9" s="131"/>
      <c r="M9" s="131"/>
      <c r="N9" s="130">
        <v>1400000</v>
      </c>
      <c r="O9" s="105">
        <f t="shared" si="0"/>
        <v>2900000</v>
      </c>
    </row>
    <row r="10" spans="1:15" ht="20.25" customHeight="1">
      <c r="A10" s="47" t="s">
        <v>23</v>
      </c>
      <c r="C10" s="130">
        <v>317652.89</v>
      </c>
      <c r="D10" s="130">
        <f t="shared" ref="D10:N10" si="1">((D4+D5+D11+D14+D15+D16+D17+D18+D19+D21)/12)</f>
        <v>336665.05475833337</v>
      </c>
      <c r="E10" s="130">
        <v>327077.09999999998</v>
      </c>
      <c r="F10" s="130">
        <f t="shared" si="1"/>
        <v>339245.42145166668</v>
      </c>
      <c r="G10" s="130">
        <f t="shared" si="1"/>
        <v>339475.8625241667</v>
      </c>
      <c r="H10" s="130">
        <f t="shared" si="1"/>
        <v>339524.15419083339</v>
      </c>
      <c r="I10" s="130">
        <f t="shared" si="1"/>
        <v>339572.44585750002</v>
      </c>
      <c r="J10" s="130">
        <f t="shared" si="1"/>
        <v>351410.09228500002</v>
      </c>
      <c r="K10" s="130">
        <f t="shared" si="1"/>
        <v>351458.38395166671</v>
      </c>
      <c r="L10" s="130">
        <f t="shared" si="1"/>
        <v>351506.67561833333</v>
      </c>
      <c r="M10" s="130">
        <f t="shared" si="1"/>
        <v>351554.96728500002</v>
      </c>
      <c r="N10" s="130">
        <f t="shared" si="1"/>
        <v>351603.25895166671</v>
      </c>
      <c r="O10" s="105">
        <f t="shared" si="0"/>
        <v>4096746.3068741672</v>
      </c>
    </row>
    <row r="11" spans="1:15" ht="20.25" customHeight="1">
      <c r="A11" s="47" t="s">
        <v>971</v>
      </c>
      <c r="C11" s="130">
        <f t="shared" ref="C11:N11" si="2">(C4+C5+C14+C15+C16+C17+C18+C19+C21)*15.9%</f>
        <v>554414.24118000001</v>
      </c>
      <c r="D11" s="130">
        <f>(D4+D5+D14+D15+D16+D17+D18+D19+D21)*15.9%</f>
        <v>554233.75710000005</v>
      </c>
      <c r="E11" s="130">
        <f t="shared" si="2"/>
        <v>549822.46427999996</v>
      </c>
      <c r="F11" s="130">
        <f t="shared" si="2"/>
        <v>558481.67741999996</v>
      </c>
      <c r="G11" s="130">
        <f t="shared" si="2"/>
        <v>558861.04028999992</v>
      </c>
      <c r="H11" s="130">
        <f t="shared" si="2"/>
        <v>558940.54028999992</v>
      </c>
      <c r="I11" s="130">
        <f t="shared" si="2"/>
        <v>559020.04028999992</v>
      </c>
      <c r="J11" s="130">
        <f t="shared" si="2"/>
        <v>578507.72742000001</v>
      </c>
      <c r="K11" s="130">
        <f t="shared" si="2"/>
        <v>578587.22742000001</v>
      </c>
      <c r="L11" s="130">
        <f t="shared" si="2"/>
        <v>578666.72742000001</v>
      </c>
      <c r="M11" s="130">
        <f t="shared" si="2"/>
        <v>578746.22742000001</v>
      </c>
      <c r="N11" s="130">
        <f t="shared" si="2"/>
        <v>578825.72742000001</v>
      </c>
      <c r="O11" s="105">
        <f t="shared" si="0"/>
        <v>6787107.3979500011</v>
      </c>
    </row>
    <row r="12" spans="1:15" ht="20.25" customHeight="1">
      <c r="A12" s="47" t="s">
        <v>972</v>
      </c>
      <c r="B12" s="47"/>
      <c r="C12" s="130">
        <v>14432.13</v>
      </c>
      <c r="D12" s="130">
        <v>13118.6</v>
      </c>
      <c r="E12" s="130">
        <v>14310</v>
      </c>
      <c r="F12" s="130">
        <v>14310</v>
      </c>
      <c r="G12" s="130">
        <v>14310</v>
      </c>
      <c r="H12" s="130">
        <v>14310</v>
      </c>
      <c r="I12" s="130">
        <v>14310</v>
      </c>
      <c r="J12" s="130">
        <v>14310</v>
      </c>
      <c r="K12" s="130">
        <v>14310</v>
      </c>
      <c r="L12" s="130">
        <v>14310</v>
      </c>
      <c r="M12" s="130">
        <v>14310</v>
      </c>
      <c r="N12" s="130">
        <v>14310</v>
      </c>
      <c r="O12" s="105">
        <f t="shared" si="0"/>
        <v>170650.72999999998</v>
      </c>
    </row>
    <row r="13" spans="1:15" ht="20.25" customHeight="1">
      <c r="A13" s="47" t="s">
        <v>760</v>
      </c>
      <c r="C13" s="130">
        <f>C10*33.33%</f>
        <v>105873.708237</v>
      </c>
      <c r="D13" s="130">
        <f t="shared" ref="D13:N13" si="3">D10*33.33%</f>
        <v>112210.4627509525</v>
      </c>
      <c r="E13" s="130">
        <f t="shared" si="3"/>
        <v>109014.79742999999</v>
      </c>
      <c r="F13" s="130">
        <f t="shared" si="3"/>
        <v>113070.4989698405</v>
      </c>
      <c r="G13" s="130">
        <f t="shared" si="3"/>
        <v>113147.30497930475</v>
      </c>
      <c r="H13" s="130">
        <f t="shared" si="3"/>
        <v>113163.40059180476</v>
      </c>
      <c r="I13" s="130">
        <f t="shared" si="3"/>
        <v>113179.49620430476</v>
      </c>
      <c r="J13" s="130">
        <f t="shared" si="3"/>
        <v>117124.9837585905</v>
      </c>
      <c r="K13" s="130">
        <f t="shared" si="3"/>
        <v>117141.07937109051</v>
      </c>
      <c r="L13" s="130">
        <f t="shared" si="3"/>
        <v>117157.17498359049</v>
      </c>
      <c r="M13" s="130">
        <f t="shared" si="3"/>
        <v>117173.2705960905</v>
      </c>
      <c r="N13" s="130">
        <f t="shared" si="3"/>
        <v>117189.36620859051</v>
      </c>
      <c r="O13" s="105">
        <f t="shared" si="0"/>
        <v>1365445.5440811599</v>
      </c>
    </row>
    <row r="14" spans="1:15" ht="20.25" customHeight="1">
      <c r="A14" s="47" t="s">
        <v>27</v>
      </c>
      <c r="C14" s="130">
        <v>303077.37</v>
      </c>
      <c r="D14" s="130">
        <v>297949.17</v>
      </c>
      <c r="E14" s="130">
        <v>298074.46999999997</v>
      </c>
      <c r="F14" s="130">
        <v>303077.37</v>
      </c>
      <c r="G14" s="130">
        <v>303077.37</v>
      </c>
      <c r="H14" s="130">
        <v>303077.37</v>
      </c>
      <c r="I14" s="130">
        <v>303077.37</v>
      </c>
      <c r="J14" s="130">
        <v>303077.37</v>
      </c>
      <c r="K14" s="130">
        <v>303077.37</v>
      </c>
      <c r="L14" s="130">
        <v>303077.37</v>
      </c>
      <c r="M14" s="130">
        <v>303077.37</v>
      </c>
      <c r="N14" s="130">
        <v>303077.37</v>
      </c>
      <c r="O14" s="105">
        <f t="shared" si="0"/>
        <v>3626797.3400000008</v>
      </c>
    </row>
    <row r="15" spans="1:15" ht="20.25" customHeight="1">
      <c r="A15" s="47" t="s">
        <v>28</v>
      </c>
      <c r="C15" s="130">
        <v>65116.58</v>
      </c>
      <c r="D15" s="130">
        <v>65116.58</v>
      </c>
      <c r="E15" s="130">
        <v>65116.58</v>
      </c>
      <c r="F15" s="130">
        <v>65116.58</v>
      </c>
      <c r="G15" s="130">
        <v>65116.58</v>
      </c>
      <c r="H15" s="130">
        <v>65116.58</v>
      </c>
      <c r="I15" s="130">
        <v>65116.58</v>
      </c>
      <c r="J15" s="130">
        <v>65116.58</v>
      </c>
      <c r="K15" s="130">
        <v>65116.58</v>
      </c>
      <c r="L15" s="130">
        <v>65116.58</v>
      </c>
      <c r="M15" s="130">
        <v>65116.58</v>
      </c>
      <c r="N15" s="130">
        <v>65116.58</v>
      </c>
      <c r="O15" s="105">
        <f t="shared" si="0"/>
        <v>781398.96</v>
      </c>
    </row>
    <row r="16" spans="1:15" ht="20.25" customHeight="1">
      <c r="A16" s="47" t="s">
        <v>29</v>
      </c>
      <c r="C16" s="130">
        <v>40296.75</v>
      </c>
      <c r="D16" s="130">
        <v>41531.56</v>
      </c>
      <c r="E16" s="130">
        <v>51511.35</v>
      </c>
      <c r="F16" s="130">
        <v>49107.040000000001</v>
      </c>
      <c r="G16" s="130">
        <v>49107.040000000001</v>
      </c>
      <c r="H16" s="130">
        <v>49107.040000000001</v>
      </c>
      <c r="I16" s="130">
        <v>49107.040000000001</v>
      </c>
      <c r="J16" s="130">
        <v>49107.040000000001</v>
      </c>
      <c r="K16" s="130">
        <v>49107.040000000001</v>
      </c>
      <c r="L16" s="130">
        <v>49107.040000000001</v>
      </c>
      <c r="M16" s="130">
        <v>49107.040000000001</v>
      </c>
      <c r="N16" s="130">
        <v>49107.040000000001</v>
      </c>
      <c r="O16" s="105">
        <f t="shared" si="0"/>
        <v>575303.02</v>
      </c>
    </row>
    <row r="17" spans="1:16" ht="20.25" customHeight="1">
      <c r="A17" s="65" t="s">
        <v>973</v>
      </c>
      <c r="B17" s="47"/>
      <c r="C17" s="130">
        <v>0</v>
      </c>
      <c r="D17" s="130">
        <v>0</v>
      </c>
      <c r="E17" s="130">
        <v>6878.09</v>
      </c>
      <c r="F17" s="130">
        <v>64828.86</v>
      </c>
      <c r="G17" s="130">
        <v>64828.86</v>
      </c>
      <c r="H17" s="130">
        <v>64828.86</v>
      </c>
      <c r="I17" s="130">
        <v>64828.86</v>
      </c>
      <c r="J17" s="130">
        <v>186892.93</v>
      </c>
      <c r="K17" s="130">
        <v>186892.93</v>
      </c>
      <c r="L17" s="130">
        <v>186892.93</v>
      </c>
      <c r="M17" s="130">
        <v>186892.93</v>
      </c>
      <c r="N17" s="130">
        <v>186892.93</v>
      </c>
      <c r="O17" s="105">
        <f t="shared" si="0"/>
        <v>1200658.1799999997</v>
      </c>
    </row>
    <row r="18" spans="1:16" ht="20.25" customHeight="1">
      <c r="A18" s="47" t="s">
        <v>974</v>
      </c>
      <c r="C18" s="130">
        <v>41169.31</v>
      </c>
      <c r="D18" s="130">
        <v>87564.74</v>
      </c>
      <c r="E18" s="130">
        <v>74804.06</v>
      </c>
      <c r="F18" s="130">
        <v>67846.039999999994</v>
      </c>
      <c r="G18" s="130">
        <v>67846.039999999994</v>
      </c>
      <c r="H18" s="130">
        <v>67846.039999999994</v>
      </c>
      <c r="I18" s="130">
        <v>67846.039999999994</v>
      </c>
      <c r="J18" s="130">
        <v>67846.039999999994</v>
      </c>
      <c r="K18" s="130">
        <v>67846.039999999994</v>
      </c>
      <c r="L18" s="130">
        <v>67846.039999999994</v>
      </c>
      <c r="M18" s="130">
        <v>67846.039999999994</v>
      </c>
      <c r="N18" s="130">
        <v>67846.039999999994</v>
      </c>
      <c r="O18" s="105">
        <f t="shared" si="0"/>
        <v>814152.47000000009</v>
      </c>
    </row>
    <row r="19" spans="1:16" ht="20.25" customHeight="1">
      <c r="A19" s="47" t="s">
        <v>33</v>
      </c>
      <c r="C19" s="130">
        <v>16551.900000000001</v>
      </c>
      <c r="D19" s="130">
        <v>16551.900000000001</v>
      </c>
      <c r="E19" s="130">
        <v>16551.900000000001</v>
      </c>
      <c r="F19" s="130">
        <v>16551.900000000001</v>
      </c>
      <c r="G19" s="130">
        <v>16551.900000000001</v>
      </c>
      <c r="H19" s="130">
        <v>16551.900000000001</v>
      </c>
      <c r="I19" s="130">
        <v>16551.900000000001</v>
      </c>
      <c r="J19" s="130">
        <v>16551.900000000001</v>
      </c>
      <c r="K19" s="130">
        <v>16551.900000000001</v>
      </c>
      <c r="L19" s="130">
        <v>16551.900000000001</v>
      </c>
      <c r="M19" s="130">
        <v>16551.900000000001</v>
      </c>
      <c r="N19" s="130">
        <v>16551.900000000001</v>
      </c>
      <c r="O19" s="105">
        <f t="shared" si="0"/>
        <v>198622.79999999996</v>
      </c>
    </row>
    <row r="20" spans="1:16" ht="20.25" customHeight="1">
      <c r="A20" s="47" t="s">
        <v>409</v>
      </c>
      <c r="C20" s="130"/>
      <c r="D20" s="130"/>
      <c r="E20" s="130">
        <v>81003.37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05">
        <f t="shared" si="0"/>
        <v>81003.37</v>
      </c>
    </row>
    <row r="21" spans="1:16" ht="20.25" customHeight="1">
      <c r="A21" s="47" t="s">
        <v>34</v>
      </c>
      <c r="C21" s="130">
        <v>2387891.9500000002</v>
      </c>
      <c r="D21" s="130">
        <v>2381479.12</v>
      </c>
      <c r="E21" s="130">
        <v>2373602.69</v>
      </c>
      <c r="F21" s="130">
        <v>2352383.69</v>
      </c>
      <c r="G21" s="130">
        <v>2352383.69</v>
      </c>
      <c r="H21" s="130">
        <v>2352383.69</v>
      </c>
      <c r="I21" s="130">
        <v>2352383.69</v>
      </c>
      <c r="J21" s="130">
        <v>2352383.69</v>
      </c>
      <c r="K21" s="130">
        <v>2352383.69</v>
      </c>
      <c r="L21" s="130">
        <v>2352383.69</v>
      </c>
      <c r="M21" s="130">
        <v>2352383.69</v>
      </c>
      <c r="N21" s="130">
        <v>2352383.69</v>
      </c>
      <c r="O21" s="105">
        <f t="shared" si="0"/>
        <v>28314426.970000003</v>
      </c>
    </row>
    <row r="22" spans="1:16" ht="20.25" customHeight="1">
      <c r="A22" s="64" t="s">
        <v>35</v>
      </c>
      <c r="B22" s="7"/>
      <c r="C22" s="8">
        <f t="shared" ref="C22:O22" si="4">SUM(C4:C21)</f>
        <v>5193719.769417</v>
      </c>
      <c r="D22" s="8">
        <f t="shared" si="4"/>
        <v>5203796.2546092868</v>
      </c>
      <c r="E22" s="8">
        <f t="shared" si="4"/>
        <v>5237785.3517100001</v>
      </c>
      <c r="F22" s="8">
        <f t="shared" si="4"/>
        <v>5257860.1678415071</v>
      </c>
      <c r="G22" s="8">
        <f t="shared" si="4"/>
        <v>5260932.7077934714</v>
      </c>
      <c r="H22" s="8">
        <f t="shared" si="4"/>
        <v>6761576.5950726382</v>
      </c>
      <c r="I22" s="8">
        <f t="shared" si="4"/>
        <v>5262220.4823518051</v>
      </c>
      <c r="J22" s="8">
        <f t="shared" si="4"/>
        <v>5479819.8234635908</v>
      </c>
      <c r="K22" s="8">
        <f t="shared" si="4"/>
        <v>5480463.7107427567</v>
      </c>
      <c r="L22" s="8">
        <f t="shared" si="4"/>
        <v>5481107.5980219236</v>
      </c>
      <c r="M22" s="8">
        <f t="shared" si="4"/>
        <v>5481751.4853010904</v>
      </c>
      <c r="N22" s="8">
        <f t="shared" si="4"/>
        <v>6882395.3725802563</v>
      </c>
      <c r="O22" s="8">
        <f t="shared" si="4"/>
        <v>66983429.318905324</v>
      </c>
      <c r="P22" s="14"/>
    </row>
    <row r="23" spans="1:16" ht="28.5" customHeight="1">
      <c r="A23" s="63" t="s">
        <v>36</v>
      </c>
      <c r="B23" s="46"/>
      <c r="C23" s="78" t="str">
        <f t="shared" ref="C23:O23" si="5">C3</f>
        <v>Janeiro</v>
      </c>
      <c r="D23" s="78" t="str">
        <f t="shared" si="5"/>
        <v>Fevereiro</v>
      </c>
      <c r="E23" s="78" t="str">
        <f t="shared" si="5"/>
        <v xml:space="preserve">Março </v>
      </c>
      <c r="F23" s="78" t="str">
        <f t="shared" si="5"/>
        <v>Abril</v>
      </c>
      <c r="G23" s="78" t="str">
        <f t="shared" si="5"/>
        <v>Maio</v>
      </c>
      <c r="H23" s="78" t="str">
        <f t="shared" si="5"/>
        <v>Junho</v>
      </c>
      <c r="I23" s="78" t="str">
        <f t="shared" si="5"/>
        <v>Julho</v>
      </c>
      <c r="J23" s="78" t="str">
        <f t="shared" si="5"/>
        <v>Agosto</v>
      </c>
      <c r="K23" s="78" t="str">
        <f t="shared" si="5"/>
        <v>Setembro</v>
      </c>
      <c r="L23" s="78" t="str">
        <f t="shared" si="5"/>
        <v>Outubro</v>
      </c>
      <c r="M23" s="78" t="str">
        <f t="shared" si="5"/>
        <v>Novembro</v>
      </c>
      <c r="N23" s="78" t="str">
        <f t="shared" si="5"/>
        <v>Dezembro</v>
      </c>
      <c r="O23" s="40" t="str">
        <f t="shared" si="5"/>
        <v xml:space="preserve">TOTAL </v>
      </c>
    </row>
    <row r="24" spans="1:16" ht="20.25" customHeight="1">
      <c r="A24" s="65" t="s">
        <v>38</v>
      </c>
      <c r="B24" s="48"/>
      <c r="C24" s="130">
        <v>0</v>
      </c>
      <c r="D24" s="130">
        <v>1100</v>
      </c>
      <c r="E24" s="130">
        <v>10065</v>
      </c>
      <c r="F24" s="130">
        <v>2610</v>
      </c>
      <c r="G24" s="130">
        <v>2610</v>
      </c>
      <c r="H24" s="130">
        <v>2610</v>
      </c>
      <c r="I24" s="130">
        <v>2610</v>
      </c>
      <c r="J24" s="130">
        <v>2610</v>
      </c>
      <c r="K24" s="130">
        <v>2610</v>
      </c>
      <c r="L24" s="130">
        <v>2610</v>
      </c>
      <c r="M24" s="130">
        <v>2610</v>
      </c>
      <c r="N24" s="130">
        <v>2610</v>
      </c>
      <c r="O24" s="105">
        <f t="shared" ref="O24:O40" si="6">SUM(C24:N24)</f>
        <v>34655</v>
      </c>
    </row>
    <row r="25" spans="1:16" ht="20.25" customHeight="1">
      <c r="A25" s="65" t="s">
        <v>39</v>
      </c>
      <c r="B25" s="48"/>
      <c r="C25" s="130">
        <v>1375</v>
      </c>
      <c r="D25" s="130">
        <v>220</v>
      </c>
      <c r="E25" s="130">
        <v>3025</v>
      </c>
      <c r="F25" s="130">
        <v>4000</v>
      </c>
      <c r="G25" s="130">
        <v>4000</v>
      </c>
      <c r="H25" s="130">
        <v>4000</v>
      </c>
      <c r="I25" s="130">
        <v>4000</v>
      </c>
      <c r="J25" s="130">
        <v>4000</v>
      </c>
      <c r="K25" s="130">
        <v>4000</v>
      </c>
      <c r="L25" s="130">
        <v>4000</v>
      </c>
      <c r="M25" s="130">
        <v>4000</v>
      </c>
      <c r="N25" s="130">
        <v>4000</v>
      </c>
      <c r="O25" s="105">
        <f t="shared" si="6"/>
        <v>40620</v>
      </c>
    </row>
    <row r="26" spans="1:16" ht="20.25" customHeight="1">
      <c r="A26" s="65" t="s">
        <v>40</v>
      </c>
      <c r="B26" s="48"/>
      <c r="C26" s="130">
        <v>0</v>
      </c>
      <c r="D26" s="130">
        <v>0</v>
      </c>
      <c r="E26" s="130">
        <v>3520</v>
      </c>
      <c r="F26" s="130">
        <v>3000</v>
      </c>
      <c r="G26" s="130">
        <v>3000</v>
      </c>
      <c r="H26" s="130">
        <v>3000</v>
      </c>
      <c r="I26" s="130">
        <v>3000</v>
      </c>
      <c r="J26" s="130">
        <v>3000</v>
      </c>
      <c r="K26" s="130">
        <v>3000</v>
      </c>
      <c r="L26" s="130">
        <v>3000</v>
      </c>
      <c r="M26" s="130">
        <v>3000</v>
      </c>
      <c r="N26" s="130">
        <v>3000</v>
      </c>
      <c r="O26" s="105">
        <f t="shared" si="6"/>
        <v>30520</v>
      </c>
    </row>
    <row r="27" spans="1:16" ht="20.25" customHeight="1">
      <c r="A27" s="65" t="s">
        <v>41</v>
      </c>
      <c r="B27" s="48"/>
      <c r="C27" s="130">
        <v>0</v>
      </c>
      <c r="D27" s="130">
        <v>0</v>
      </c>
      <c r="E27" s="130">
        <v>1240</v>
      </c>
      <c r="F27" s="130">
        <v>4800</v>
      </c>
      <c r="G27" s="130">
        <v>4800</v>
      </c>
      <c r="H27" s="130">
        <v>4800</v>
      </c>
      <c r="I27" s="130">
        <v>4800</v>
      </c>
      <c r="J27" s="130">
        <v>4800</v>
      </c>
      <c r="K27" s="130">
        <v>4800</v>
      </c>
      <c r="L27" s="130">
        <v>4800</v>
      </c>
      <c r="M27" s="130">
        <v>4800</v>
      </c>
      <c r="N27" s="130">
        <v>4800</v>
      </c>
      <c r="O27" s="105">
        <f t="shared" si="6"/>
        <v>44440</v>
      </c>
    </row>
    <row r="28" spans="1:16" ht="20.25" customHeight="1">
      <c r="A28" s="65" t="s">
        <v>975</v>
      </c>
      <c r="B28" s="48"/>
      <c r="C28" s="130">
        <v>0</v>
      </c>
      <c r="D28" s="130">
        <v>0</v>
      </c>
      <c r="E28" s="130">
        <v>18223.03</v>
      </c>
      <c r="F28" s="130">
        <v>4400</v>
      </c>
      <c r="G28" s="130">
        <v>4400</v>
      </c>
      <c r="H28" s="130">
        <v>4400</v>
      </c>
      <c r="I28" s="130">
        <v>4400</v>
      </c>
      <c r="J28" s="130">
        <v>4400</v>
      </c>
      <c r="K28" s="130">
        <v>4400</v>
      </c>
      <c r="L28" s="130">
        <v>4400</v>
      </c>
      <c r="M28" s="130">
        <v>4400</v>
      </c>
      <c r="N28" s="130">
        <v>4400</v>
      </c>
      <c r="O28" s="105">
        <f t="shared" si="6"/>
        <v>57823.03</v>
      </c>
    </row>
    <row r="29" spans="1:16" ht="20.25" customHeight="1">
      <c r="A29" s="65" t="s">
        <v>976</v>
      </c>
      <c r="B29" s="95" t="s">
        <v>977</v>
      </c>
      <c r="C29" s="132"/>
      <c r="D29" s="132">
        <v>0</v>
      </c>
      <c r="E29" s="130"/>
      <c r="F29" s="130">
        <v>8000</v>
      </c>
      <c r="G29" s="130">
        <v>0</v>
      </c>
      <c r="H29" s="130">
        <v>0</v>
      </c>
      <c r="I29" s="130">
        <v>0</v>
      </c>
      <c r="J29" s="130"/>
      <c r="K29" s="130"/>
      <c r="L29" s="130"/>
      <c r="M29" s="130"/>
      <c r="N29" s="130"/>
      <c r="O29" s="105">
        <f t="shared" si="6"/>
        <v>8000</v>
      </c>
    </row>
    <row r="30" spans="1:16" ht="20.25" customHeight="1">
      <c r="A30" s="65" t="s">
        <v>978</v>
      </c>
      <c r="B30" s="95" t="s">
        <v>977</v>
      </c>
      <c r="C30" s="132"/>
      <c r="D30" s="132"/>
      <c r="E30" s="130"/>
      <c r="F30" s="130">
        <v>10000</v>
      </c>
      <c r="G30" s="130">
        <v>10000</v>
      </c>
      <c r="H30" s="130">
        <v>10000</v>
      </c>
      <c r="I30" s="130">
        <v>10000</v>
      </c>
      <c r="J30" s="130"/>
      <c r="K30" s="130"/>
      <c r="L30" s="130"/>
      <c r="M30" s="130"/>
      <c r="N30" s="130"/>
      <c r="O30" s="105">
        <f t="shared" si="6"/>
        <v>40000</v>
      </c>
    </row>
    <row r="31" spans="1:16" ht="20.25" customHeight="1">
      <c r="A31" s="65" t="s">
        <v>979</v>
      </c>
      <c r="B31" s="95" t="s">
        <v>980</v>
      </c>
      <c r="C31" s="132"/>
      <c r="D31" s="132">
        <v>0</v>
      </c>
      <c r="E31" s="130"/>
      <c r="F31" s="130"/>
      <c r="G31" s="130">
        <v>7000</v>
      </c>
      <c r="H31" s="130"/>
      <c r="I31" s="130"/>
      <c r="J31" s="130"/>
      <c r="K31" s="130"/>
      <c r="L31" s="130"/>
      <c r="M31" s="130"/>
      <c r="N31" s="130"/>
      <c r="O31" s="105">
        <f t="shared" si="6"/>
        <v>7000</v>
      </c>
    </row>
    <row r="32" spans="1:16" ht="20.25" customHeight="1">
      <c r="A32" s="65" t="s">
        <v>981</v>
      </c>
      <c r="B32" s="95" t="s">
        <v>980</v>
      </c>
      <c r="C32" s="132"/>
      <c r="D32" s="132">
        <v>0</v>
      </c>
      <c r="E32" s="130"/>
      <c r="F32" s="130">
        <v>2500</v>
      </c>
      <c r="G32" s="130"/>
      <c r="H32" s="130"/>
      <c r="I32" s="130">
        <v>2500</v>
      </c>
      <c r="J32" s="130"/>
      <c r="K32" s="130"/>
      <c r="L32" s="130"/>
      <c r="M32" s="130"/>
      <c r="N32" s="130"/>
      <c r="O32" s="105">
        <f t="shared" si="6"/>
        <v>5000</v>
      </c>
    </row>
    <row r="33" spans="1:16" ht="20.25" customHeight="1">
      <c r="A33" s="65" t="s">
        <v>982</v>
      </c>
      <c r="B33" s="95" t="s">
        <v>980</v>
      </c>
      <c r="C33" s="132"/>
      <c r="D33" s="132"/>
      <c r="E33" s="130"/>
      <c r="F33" s="130"/>
      <c r="G33" s="130"/>
      <c r="H33" s="130"/>
      <c r="I33" s="130">
        <v>6000</v>
      </c>
      <c r="J33" s="130"/>
      <c r="K33" s="130"/>
      <c r="L33" s="130"/>
      <c r="M33" s="130"/>
      <c r="N33" s="130"/>
      <c r="O33" s="105">
        <f t="shared" si="6"/>
        <v>6000</v>
      </c>
    </row>
    <row r="34" spans="1:16" ht="20.25" customHeight="1">
      <c r="A34" s="65" t="s">
        <v>983</v>
      </c>
      <c r="B34" s="95" t="s">
        <v>980</v>
      </c>
      <c r="C34" s="132"/>
      <c r="D34" s="132"/>
      <c r="E34" s="130"/>
      <c r="F34" s="130">
        <v>7500</v>
      </c>
      <c r="G34" s="130"/>
      <c r="H34" s="130"/>
      <c r="I34" s="130"/>
      <c r="J34" s="130"/>
      <c r="K34" s="130"/>
      <c r="L34" s="130"/>
      <c r="M34" s="130"/>
      <c r="N34" s="130"/>
      <c r="O34" s="105">
        <f t="shared" si="6"/>
        <v>7500</v>
      </c>
    </row>
    <row r="35" spans="1:16" ht="20.25" customHeight="1">
      <c r="A35" s="65" t="s">
        <v>984</v>
      </c>
      <c r="B35" s="95" t="s">
        <v>980</v>
      </c>
      <c r="C35" s="132"/>
      <c r="D35" s="132"/>
      <c r="E35" s="130"/>
      <c r="F35" s="130"/>
      <c r="G35" s="130">
        <v>6000</v>
      </c>
      <c r="H35" s="130"/>
      <c r="I35" s="130"/>
      <c r="J35" s="130"/>
      <c r="K35" s="130"/>
      <c r="L35" s="130"/>
      <c r="M35" s="130">
        <v>6000</v>
      </c>
      <c r="N35" s="130"/>
      <c r="O35" s="105">
        <f t="shared" si="6"/>
        <v>12000</v>
      </c>
    </row>
    <row r="36" spans="1:16" ht="20.25" customHeight="1">
      <c r="A36" s="65" t="s">
        <v>985</v>
      </c>
      <c r="B36" s="95" t="s">
        <v>980</v>
      </c>
      <c r="C36" s="132"/>
      <c r="D36" s="132"/>
      <c r="E36" s="130"/>
      <c r="F36" s="130">
        <v>3500</v>
      </c>
      <c r="G36" s="130"/>
      <c r="H36" s="130"/>
      <c r="I36" s="130"/>
      <c r="J36" s="130">
        <v>2500</v>
      </c>
      <c r="K36" s="130"/>
      <c r="L36" s="130"/>
      <c r="M36" s="130"/>
      <c r="N36" s="130"/>
      <c r="O36" s="105">
        <f t="shared" si="6"/>
        <v>6000</v>
      </c>
    </row>
    <row r="37" spans="1:16" ht="20.25" customHeight="1">
      <c r="A37" s="65" t="s">
        <v>986</v>
      </c>
      <c r="B37" s="95" t="s">
        <v>987</v>
      </c>
      <c r="C37" s="132"/>
      <c r="D37" s="132"/>
      <c r="E37" s="130"/>
      <c r="F37" s="130">
        <v>10000</v>
      </c>
      <c r="G37" s="130">
        <v>10000</v>
      </c>
      <c r="H37" s="130"/>
      <c r="I37" s="130"/>
      <c r="J37" s="130"/>
      <c r="K37" s="130"/>
      <c r="L37" s="130"/>
      <c r="M37" s="130"/>
      <c r="N37" s="130"/>
      <c r="O37" s="105">
        <f t="shared" si="6"/>
        <v>20000</v>
      </c>
    </row>
    <row r="38" spans="1:16" ht="20.25" customHeight="1">
      <c r="A38" s="65" t="s">
        <v>988</v>
      </c>
      <c r="B38" s="91"/>
      <c r="C38" s="132"/>
      <c r="D38" s="132"/>
      <c r="E38" s="130"/>
      <c r="F38" s="130">
        <v>10000</v>
      </c>
      <c r="G38" s="130">
        <v>10000</v>
      </c>
      <c r="H38" s="130">
        <v>10000</v>
      </c>
      <c r="I38" s="130">
        <v>10000</v>
      </c>
      <c r="J38" s="130">
        <v>10000</v>
      </c>
      <c r="K38" s="130">
        <v>10000</v>
      </c>
      <c r="L38" s="130">
        <v>10000</v>
      </c>
      <c r="M38" s="130">
        <v>10000</v>
      </c>
      <c r="N38" s="130">
        <v>10000</v>
      </c>
      <c r="O38" s="105">
        <f t="shared" si="6"/>
        <v>90000</v>
      </c>
    </row>
    <row r="39" spans="1:16" ht="20.25" hidden="1" customHeight="1">
      <c r="A39" s="65" t="s">
        <v>43</v>
      </c>
      <c r="B39" s="48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05">
        <f t="shared" si="6"/>
        <v>0</v>
      </c>
    </row>
    <row r="40" spans="1:16" ht="20.25" hidden="1" customHeight="1">
      <c r="A40" s="65" t="s">
        <v>44</v>
      </c>
      <c r="B40" s="48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05">
        <f t="shared" si="6"/>
        <v>0</v>
      </c>
    </row>
    <row r="41" spans="1:16" ht="20.25" customHeight="1">
      <c r="A41" s="64" t="s">
        <v>45</v>
      </c>
      <c r="B41" s="7"/>
      <c r="C41" s="106">
        <f t="shared" ref="C41:O41" si="7">SUM(C24:C40)</f>
        <v>1375</v>
      </c>
      <c r="D41" s="106">
        <f t="shared" si="7"/>
        <v>1320</v>
      </c>
      <c r="E41" s="106">
        <f t="shared" si="7"/>
        <v>36073.03</v>
      </c>
      <c r="F41" s="106">
        <f t="shared" si="7"/>
        <v>70310</v>
      </c>
      <c r="G41" s="106">
        <f t="shared" si="7"/>
        <v>61810</v>
      </c>
      <c r="H41" s="106">
        <f t="shared" si="7"/>
        <v>38810</v>
      </c>
      <c r="I41" s="106">
        <f t="shared" si="7"/>
        <v>47310</v>
      </c>
      <c r="J41" s="106">
        <f t="shared" si="7"/>
        <v>31310</v>
      </c>
      <c r="K41" s="106">
        <f t="shared" si="7"/>
        <v>28810</v>
      </c>
      <c r="L41" s="106">
        <f t="shared" si="7"/>
        <v>28810</v>
      </c>
      <c r="M41" s="106">
        <f t="shared" si="7"/>
        <v>34810</v>
      </c>
      <c r="N41" s="106">
        <f t="shared" si="7"/>
        <v>28810</v>
      </c>
      <c r="O41" s="106">
        <f t="shared" si="7"/>
        <v>409558.03</v>
      </c>
      <c r="P41" s="14"/>
    </row>
    <row r="42" spans="1:16" ht="26.65" customHeight="1">
      <c r="A42" s="63" t="s">
        <v>46</v>
      </c>
      <c r="B42" s="46"/>
      <c r="C42" s="78" t="str">
        <f t="shared" ref="C42:O42" si="8">C23</f>
        <v>Janeiro</v>
      </c>
      <c r="D42" s="78" t="str">
        <f t="shared" si="8"/>
        <v>Fevereiro</v>
      </c>
      <c r="E42" s="78" t="str">
        <f t="shared" si="8"/>
        <v xml:space="preserve">Março </v>
      </c>
      <c r="F42" s="78" t="str">
        <f t="shared" si="8"/>
        <v>Abril</v>
      </c>
      <c r="G42" s="78" t="str">
        <f t="shared" si="8"/>
        <v>Maio</v>
      </c>
      <c r="H42" s="78" t="str">
        <f t="shared" si="8"/>
        <v>Junho</v>
      </c>
      <c r="I42" s="78" t="str">
        <f t="shared" si="8"/>
        <v>Julho</v>
      </c>
      <c r="J42" s="78" t="str">
        <f t="shared" si="8"/>
        <v>Agosto</v>
      </c>
      <c r="K42" s="78" t="str">
        <f t="shared" si="8"/>
        <v>Setembro</v>
      </c>
      <c r="L42" s="78" t="str">
        <f t="shared" si="8"/>
        <v>Outubro</v>
      </c>
      <c r="M42" s="78" t="str">
        <f t="shared" si="8"/>
        <v>Novembro</v>
      </c>
      <c r="N42" s="78" t="str">
        <f t="shared" si="8"/>
        <v>Dezembro</v>
      </c>
      <c r="O42" s="40" t="str">
        <f t="shared" si="8"/>
        <v xml:space="preserve">TOTAL </v>
      </c>
    </row>
    <row r="43" spans="1:16" ht="20.25" customHeight="1">
      <c r="A43" s="47" t="s">
        <v>47</v>
      </c>
      <c r="B43" s="49"/>
      <c r="C43" s="130">
        <v>2819.72</v>
      </c>
      <c r="D43" s="130">
        <v>2819.72</v>
      </c>
      <c r="E43" s="130">
        <v>2917.08</v>
      </c>
      <c r="F43" s="130">
        <v>2819.72</v>
      </c>
      <c r="G43" s="130">
        <v>2819.72</v>
      </c>
      <c r="H43" s="130">
        <v>2819.72</v>
      </c>
      <c r="I43" s="130">
        <v>2819.72</v>
      </c>
      <c r="J43" s="130">
        <v>2819.72</v>
      </c>
      <c r="K43" s="130">
        <v>2819.72</v>
      </c>
      <c r="L43" s="130">
        <v>2819.72</v>
      </c>
      <c r="M43" s="130">
        <v>2819.72</v>
      </c>
      <c r="N43" s="130">
        <v>2819.72</v>
      </c>
      <c r="O43" s="105">
        <f t="shared" ref="O43:O49" si="9">SUM(C43:N43)</f>
        <v>33934.000000000007</v>
      </c>
    </row>
    <row r="44" spans="1:16" ht="20.25" customHeight="1">
      <c r="A44" s="47" t="s">
        <v>48</v>
      </c>
      <c r="B44" s="49"/>
      <c r="C44" s="130">
        <v>3085.82</v>
      </c>
      <c r="D44" s="130">
        <v>1818.24</v>
      </c>
      <c r="E44" s="130">
        <v>4020.92</v>
      </c>
      <c r="F44" s="130">
        <v>3500</v>
      </c>
      <c r="G44" s="130">
        <v>3500</v>
      </c>
      <c r="H44" s="130">
        <v>3500</v>
      </c>
      <c r="I44" s="130">
        <v>3500</v>
      </c>
      <c r="J44" s="130">
        <v>3500</v>
      </c>
      <c r="K44" s="130">
        <v>3500</v>
      </c>
      <c r="L44" s="130">
        <v>3500</v>
      </c>
      <c r="M44" s="130">
        <v>3500</v>
      </c>
      <c r="N44" s="130">
        <v>3500</v>
      </c>
      <c r="O44" s="105">
        <f t="shared" si="9"/>
        <v>40424.979999999996</v>
      </c>
    </row>
    <row r="45" spans="1:16" ht="20.25" customHeight="1">
      <c r="A45" s="47" t="s">
        <v>49</v>
      </c>
      <c r="B45" s="49"/>
      <c r="C45" s="130">
        <v>71503.960000000006</v>
      </c>
      <c r="D45" s="130">
        <v>63352.04</v>
      </c>
      <c r="E45" s="130">
        <v>72075.48</v>
      </c>
      <c r="F45" s="130">
        <v>80000</v>
      </c>
      <c r="G45" s="130">
        <v>80000</v>
      </c>
      <c r="H45" s="130">
        <v>80000</v>
      </c>
      <c r="I45" s="130">
        <v>80000</v>
      </c>
      <c r="J45" s="130">
        <v>80000</v>
      </c>
      <c r="K45" s="130">
        <v>80000</v>
      </c>
      <c r="L45" s="130">
        <v>80000</v>
      </c>
      <c r="M45" s="130">
        <v>80000</v>
      </c>
      <c r="N45" s="130">
        <v>80000</v>
      </c>
      <c r="O45" s="105">
        <f t="shared" si="9"/>
        <v>926931.48</v>
      </c>
    </row>
    <row r="46" spans="1:16" ht="20.25" customHeight="1">
      <c r="A46" s="47" t="s">
        <v>50</v>
      </c>
      <c r="B46" s="49"/>
      <c r="C46" s="130">
        <v>4797</v>
      </c>
      <c r="D46" s="130">
        <v>3601</v>
      </c>
      <c r="E46" s="130">
        <v>25285</v>
      </c>
      <c r="F46" s="130">
        <v>5500</v>
      </c>
      <c r="G46" s="130">
        <v>5500</v>
      </c>
      <c r="H46" s="130">
        <v>22000</v>
      </c>
      <c r="I46" s="130">
        <v>5500</v>
      </c>
      <c r="J46" s="130">
        <v>5500</v>
      </c>
      <c r="K46" s="130">
        <v>5500</v>
      </c>
      <c r="L46" s="130">
        <v>5500</v>
      </c>
      <c r="M46" s="130">
        <v>5500</v>
      </c>
      <c r="N46" s="130">
        <v>5500</v>
      </c>
      <c r="O46" s="105">
        <f t="shared" si="9"/>
        <v>99683</v>
      </c>
    </row>
    <row r="47" spans="1:16" ht="20.25" customHeight="1">
      <c r="A47" s="47" t="s">
        <v>51</v>
      </c>
      <c r="B47" s="94" t="s">
        <v>52</v>
      </c>
      <c r="C47" s="130">
        <v>4676.5</v>
      </c>
      <c r="D47" s="130">
        <v>4797.67</v>
      </c>
      <c r="E47" s="130">
        <v>4610.8999999999996</v>
      </c>
      <c r="F47" s="130">
        <v>6300</v>
      </c>
      <c r="G47" s="130">
        <v>6300</v>
      </c>
      <c r="H47" s="130">
        <v>6300</v>
      </c>
      <c r="I47" s="130">
        <v>6300</v>
      </c>
      <c r="J47" s="130">
        <v>6300</v>
      </c>
      <c r="K47" s="130">
        <v>6300</v>
      </c>
      <c r="L47" s="130">
        <v>6300</v>
      </c>
      <c r="M47" s="130">
        <v>6300</v>
      </c>
      <c r="N47" s="130">
        <v>6300</v>
      </c>
      <c r="O47" s="105">
        <f t="shared" si="9"/>
        <v>70785.070000000007</v>
      </c>
    </row>
    <row r="48" spans="1:16" ht="20.25" customHeight="1">
      <c r="A48" s="47" t="s">
        <v>53</v>
      </c>
      <c r="B48" s="93"/>
      <c r="C48" s="130">
        <v>4965.92</v>
      </c>
      <c r="D48" s="130">
        <v>314.16000000000003</v>
      </c>
      <c r="E48" s="130">
        <v>10372.82</v>
      </c>
      <c r="F48" s="130">
        <v>6800</v>
      </c>
      <c r="G48" s="130">
        <v>6800</v>
      </c>
      <c r="H48" s="130">
        <v>6800</v>
      </c>
      <c r="I48" s="130">
        <v>6800</v>
      </c>
      <c r="J48" s="130">
        <v>6800</v>
      </c>
      <c r="K48" s="130">
        <v>6800</v>
      </c>
      <c r="L48" s="130">
        <v>6800</v>
      </c>
      <c r="M48" s="130">
        <v>6800</v>
      </c>
      <c r="N48" s="130">
        <v>6800</v>
      </c>
      <c r="O48" s="105">
        <f t="shared" si="9"/>
        <v>76852.899999999994</v>
      </c>
    </row>
    <row r="49" spans="1:16" ht="20.25" customHeight="1">
      <c r="A49" s="47" t="s">
        <v>54</v>
      </c>
      <c r="B49" s="97"/>
      <c r="C49" s="130">
        <v>26958</v>
      </c>
      <c r="D49" s="130">
        <v>25578.83</v>
      </c>
      <c r="E49" s="130">
        <v>25575.08</v>
      </c>
      <c r="F49" s="130">
        <v>26000</v>
      </c>
      <c r="G49" s="130">
        <v>26000</v>
      </c>
      <c r="H49" s="130">
        <v>26000</v>
      </c>
      <c r="I49" s="130">
        <v>26000</v>
      </c>
      <c r="J49" s="130">
        <v>26000</v>
      </c>
      <c r="K49" s="130">
        <v>26000</v>
      </c>
      <c r="L49" s="130">
        <v>26000</v>
      </c>
      <c r="M49" s="130">
        <v>26000</v>
      </c>
      <c r="N49" s="130">
        <v>26000</v>
      </c>
      <c r="O49" s="105">
        <f t="shared" si="9"/>
        <v>312111.91000000003</v>
      </c>
    </row>
    <row r="50" spans="1:16" ht="20.25" customHeight="1">
      <c r="A50" s="64" t="s">
        <v>55</v>
      </c>
      <c r="B50" s="7"/>
      <c r="C50" s="106">
        <f t="shared" ref="C50:O50" si="10">SUM(C43:C49)</f>
        <v>118806.92</v>
      </c>
      <c r="D50" s="106">
        <f t="shared" si="10"/>
        <v>102281.66</v>
      </c>
      <c r="E50" s="106">
        <f t="shared" si="10"/>
        <v>144857.27999999997</v>
      </c>
      <c r="F50" s="106">
        <f t="shared" si="10"/>
        <v>130919.72</v>
      </c>
      <c r="G50" s="106">
        <f t="shared" si="10"/>
        <v>130919.72</v>
      </c>
      <c r="H50" s="106">
        <f t="shared" si="10"/>
        <v>147419.72</v>
      </c>
      <c r="I50" s="106">
        <f t="shared" si="10"/>
        <v>130919.72</v>
      </c>
      <c r="J50" s="106">
        <f t="shared" si="10"/>
        <v>130919.72</v>
      </c>
      <c r="K50" s="106">
        <f t="shared" si="10"/>
        <v>130919.72</v>
      </c>
      <c r="L50" s="106">
        <f t="shared" si="10"/>
        <v>130919.72</v>
      </c>
      <c r="M50" s="106">
        <f t="shared" si="10"/>
        <v>130919.72</v>
      </c>
      <c r="N50" s="106">
        <f t="shared" si="10"/>
        <v>130919.72</v>
      </c>
      <c r="O50" s="106">
        <f t="shared" si="10"/>
        <v>1560723.3399999999</v>
      </c>
      <c r="P50" s="14"/>
    </row>
    <row r="51" spans="1:16" ht="28.5" customHeight="1">
      <c r="A51" s="66" t="s">
        <v>56</v>
      </c>
      <c r="B51" s="98"/>
      <c r="C51" s="78" t="str">
        <f t="shared" ref="C51:O51" si="11">C42</f>
        <v>Janeiro</v>
      </c>
      <c r="D51" s="78" t="str">
        <f t="shared" si="11"/>
        <v>Fevereiro</v>
      </c>
      <c r="E51" s="78" t="str">
        <f t="shared" si="11"/>
        <v xml:space="preserve">Março </v>
      </c>
      <c r="F51" s="78" t="str">
        <f t="shared" si="11"/>
        <v>Abril</v>
      </c>
      <c r="G51" s="78" t="str">
        <f t="shared" si="11"/>
        <v>Maio</v>
      </c>
      <c r="H51" s="78" t="str">
        <f t="shared" si="11"/>
        <v>Junho</v>
      </c>
      <c r="I51" s="78" t="str">
        <f t="shared" si="11"/>
        <v>Julho</v>
      </c>
      <c r="J51" s="78" t="str">
        <f t="shared" si="11"/>
        <v>Agosto</v>
      </c>
      <c r="K51" s="78" t="str">
        <f t="shared" si="11"/>
        <v>Setembro</v>
      </c>
      <c r="L51" s="78" t="str">
        <f t="shared" si="11"/>
        <v>Outubro</v>
      </c>
      <c r="M51" s="78" t="str">
        <f t="shared" si="11"/>
        <v>Novembro</v>
      </c>
      <c r="N51" s="78" t="str">
        <f t="shared" si="11"/>
        <v>Dezembro</v>
      </c>
      <c r="O51" s="40" t="str">
        <f t="shared" si="11"/>
        <v xml:space="preserve">TOTAL </v>
      </c>
    </row>
    <row r="52" spans="1:16" ht="20.25" customHeight="1">
      <c r="A52" s="47" t="s">
        <v>57</v>
      </c>
      <c r="B52" s="97"/>
      <c r="C52" s="130">
        <v>30357.87</v>
      </c>
      <c r="D52" s="130">
        <v>18297.439999999999</v>
      </c>
      <c r="E52" s="130">
        <v>14645.57</v>
      </c>
      <c r="F52" s="130">
        <v>24679.9</v>
      </c>
      <c r="G52" s="130">
        <v>24679.9</v>
      </c>
      <c r="H52" s="130">
        <v>24679.9</v>
      </c>
      <c r="I52" s="130">
        <v>24679.9</v>
      </c>
      <c r="J52" s="130">
        <v>24679.9</v>
      </c>
      <c r="K52" s="130">
        <v>24679.9</v>
      </c>
      <c r="L52" s="130">
        <v>24679.9</v>
      </c>
      <c r="M52" s="130">
        <v>24679.9</v>
      </c>
      <c r="N52" s="130">
        <v>24679.9</v>
      </c>
      <c r="O52" s="105">
        <f>SUM(C52+D52+E52+F52+G52+H52+I52+J52+K52+L52+M52+N52)</f>
        <v>285419.98</v>
      </c>
    </row>
    <row r="53" spans="1:16" ht="20.25" customHeight="1">
      <c r="A53" s="64" t="s">
        <v>58</v>
      </c>
      <c r="B53" s="7"/>
      <c r="C53" s="106">
        <f t="shared" ref="C53:O53" si="12">C52</f>
        <v>30357.87</v>
      </c>
      <c r="D53" s="106">
        <f t="shared" si="12"/>
        <v>18297.439999999999</v>
      </c>
      <c r="E53" s="106">
        <f t="shared" si="12"/>
        <v>14645.57</v>
      </c>
      <c r="F53" s="106">
        <f t="shared" si="12"/>
        <v>24679.9</v>
      </c>
      <c r="G53" s="106">
        <f t="shared" si="12"/>
        <v>24679.9</v>
      </c>
      <c r="H53" s="106">
        <f t="shared" si="12"/>
        <v>24679.9</v>
      </c>
      <c r="I53" s="106">
        <f t="shared" si="12"/>
        <v>24679.9</v>
      </c>
      <c r="J53" s="106">
        <f t="shared" si="12"/>
        <v>24679.9</v>
      </c>
      <c r="K53" s="106">
        <f t="shared" si="12"/>
        <v>24679.9</v>
      </c>
      <c r="L53" s="106">
        <f t="shared" si="12"/>
        <v>24679.9</v>
      </c>
      <c r="M53" s="106">
        <f t="shared" si="12"/>
        <v>24679.9</v>
      </c>
      <c r="N53" s="106">
        <f t="shared" si="12"/>
        <v>24679.9</v>
      </c>
      <c r="O53" s="106">
        <f t="shared" si="12"/>
        <v>285419.98</v>
      </c>
      <c r="P53" s="14"/>
    </row>
    <row r="54" spans="1:16" ht="25.5" customHeight="1">
      <c r="A54" s="63" t="s">
        <v>59</v>
      </c>
      <c r="B54" s="99"/>
      <c r="C54" s="78" t="str">
        <f t="shared" ref="C54:O54" si="13">C51</f>
        <v>Janeiro</v>
      </c>
      <c r="D54" s="78" t="str">
        <f t="shared" si="13"/>
        <v>Fevereiro</v>
      </c>
      <c r="E54" s="78" t="str">
        <f t="shared" si="13"/>
        <v xml:space="preserve">Março </v>
      </c>
      <c r="F54" s="78" t="str">
        <f t="shared" si="13"/>
        <v>Abril</v>
      </c>
      <c r="G54" s="78" t="str">
        <f t="shared" si="13"/>
        <v>Maio</v>
      </c>
      <c r="H54" s="78" t="str">
        <f t="shared" si="13"/>
        <v>Junho</v>
      </c>
      <c r="I54" s="78" t="str">
        <f t="shared" si="13"/>
        <v>Julho</v>
      </c>
      <c r="J54" s="78" t="str">
        <f t="shared" si="13"/>
        <v>Agosto</v>
      </c>
      <c r="K54" s="78" t="str">
        <f t="shared" si="13"/>
        <v>Setembro</v>
      </c>
      <c r="L54" s="78" t="str">
        <f t="shared" si="13"/>
        <v>Outubro</v>
      </c>
      <c r="M54" s="78" t="str">
        <f t="shared" si="13"/>
        <v>Novembro</v>
      </c>
      <c r="N54" s="78" t="str">
        <f t="shared" si="13"/>
        <v>Dezembro</v>
      </c>
      <c r="O54" s="40" t="str">
        <f t="shared" si="13"/>
        <v xml:space="preserve">TOTAL </v>
      </c>
    </row>
    <row r="55" spans="1:16" ht="20.25" customHeight="1">
      <c r="A55" s="47" t="s">
        <v>60</v>
      </c>
      <c r="B55" s="100" t="s">
        <v>989</v>
      </c>
      <c r="C55" s="130">
        <v>1945.08</v>
      </c>
      <c r="D55" s="130">
        <v>1945.08</v>
      </c>
      <c r="E55" s="130">
        <v>1945.08</v>
      </c>
      <c r="F55" s="130">
        <v>1945.08</v>
      </c>
      <c r="G55" s="130">
        <v>1945.08</v>
      </c>
      <c r="H55" s="130">
        <v>1945.08</v>
      </c>
      <c r="I55" s="130">
        <v>1945.08</v>
      </c>
      <c r="J55" s="130">
        <v>1945.08</v>
      </c>
      <c r="K55" s="130">
        <v>1945.08</v>
      </c>
      <c r="L55" s="130">
        <v>1945.08</v>
      </c>
      <c r="M55" s="130">
        <v>1983.98</v>
      </c>
      <c r="N55" s="130">
        <v>1952.17</v>
      </c>
      <c r="O55" s="105">
        <f t="shared" ref="O55:O62" si="14">SUM(C55:N55)</f>
        <v>23386.950000000004</v>
      </c>
    </row>
    <row r="56" spans="1:16" ht="20.25" customHeight="1">
      <c r="A56" s="47" t="s">
        <v>62</v>
      </c>
      <c r="B56" s="97"/>
      <c r="C56" s="130">
        <v>3998.16</v>
      </c>
      <c r="D56" s="130">
        <v>3995.48</v>
      </c>
      <c r="E56" s="130">
        <v>6880.98</v>
      </c>
      <c r="F56" s="130">
        <v>5787.5</v>
      </c>
      <c r="G56" s="130">
        <v>5787.5</v>
      </c>
      <c r="H56" s="130">
        <v>5787.5</v>
      </c>
      <c r="I56" s="130">
        <v>5787.5</v>
      </c>
      <c r="J56" s="130">
        <v>5787.5</v>
      </c>
      <c r="K56" s="130">
        <v>5787.5</v>
      </c>
      <c r="L56" s="130">
        <v>5787.5</v>
      </c>
      <c r="M56" s="130">
        <v>5787.5</v>
      </c>
      <c r="N56" s="130">
        <v>5787.5</v>
      </c>
      <c r="O56" s="105">
        <f t="shared" si="14"/>
        <v>66962.12</v>
      </c>
    </row>
    <row r="57" spans="1:16" ht="20.25" customHeight="1">
      <c r="A57" s="47" t="s">
        <v>500</v>
      </c>
      <c r="B57" s="101"/>
      <c r="C57" s="130">
        <v>1523.86</v>
      </c>
      <c r="D57" s="130"/>
      <c r="E57" s="130">
        <v>3045.61</v>
      </c>
      <c r="F57" s="130"/>
      <c r="G57" s="130"/>
      <c r="H57" s="130"/>
      <c r="I57" s="130">
        <v>1388.98</v>
      </c>
      <c r="J57" s="130"/>
      <c r="K57" s="130">
        <v>1388.98</v>
      </c>
      <c r="L57" s="130">
        <v>1455.89</v>
      </c>
      <c r="M57" s="130">
        <v>1388.98</v>
      </c>
      <c r="N57" s="130"/>
      <c r="O57" s="105">
        <f t="shared" si="14"/>
        <v>10192.299999999999</v>
      </c>
    </row>
    <row r="58" spans="1:16" ht="20.25" customHeight="1">
      <c r="A58" s="47" t="s">
        <v>64</v>
      </c>
      <c r="B58" s="100" t="s">
        <v>65</v>
      </c>
      <c r="C58" s="130">
        <v>2400</v>
      </c>
      <c r="D58" s="130">
        <f>C58</f>
        <v>2400</v>
      </c>
      <c r="E58" s="130">
        <f>D58</f>
        <v>2400</v>
      </c>
      <c r="F58" s="130">
        <v>2448</v>
      </c>
      <c r="G58" s="130">
        <f t="shared" ref="G58:N59" si="15">F58</f>
        <v>2448</v>
      </c>
      <c r="H58" s="130">
        <f t="shared" si="15"/>
        <v>2448</v>
      </c>
      <c r="I58" s="130">
        <f t="shared" si="15"/>
        <v>2448</v>
      </c>
      <c r="J58" s="130">
        <f t="shared" si="15"/>
        <v>2448</v>
      </c>
      <c r="K58" s="130">
        <f t="shared" si="15"/>
        <v>2448</v>
      </c>
      <c r="L58" s="130">
        <f t="shared" si="15"/>
        <v>2448</v>
      </c>
      <c r="M58" s="130">
        <f t="shared" si="15"/>
        <v>2448</v>
      </c>
      <c r="N58" s="130">
        <f t="shared" si="15"/>
        <v>2448</v>
      </c>
      <c r="O58" s="105">
        <f t="shared" si="14"/>
        <v>29232</v>
      </c>
    </row>
    <row r="59" spans="1:16" ht="20.25" customHeight="1">
      <c r="A59" s="47" t="s">
        <v>66</v>
      </c>
      <c r="B59" s="100" t="s">
        <v>67</v>
      </c>
      <c r="C59" s="130">
        <v>6089.43</v>
      </c>
      <c r="D59" s="130">
        <f>C59</f>
        <v>6089.43</v>
      </c>
      <c r="E59" s="130">
        <f>D59</f>
        <v>6089.43</v>
      </c>
      <c r="F59" s="130">
        <f>E59</f>
        <v>6089.43</v>
      </c>
      <c r="G59" s="130">
        <f t="shared" si="15"/>
        <v>6089.43</v>
      </c>
      <c r="H59" s="130">
        <f t="shared" si="15"/>
        <v>6089.43</v>
      </c>
      <c r="I59" s="130">
        <f t="shared" si="15"/>
        <v>6089.43</v>
      </c>
      <c r="J59" s="130">
        <f t="shared" si="15"/>
        <v>6089.43</v>
      </c>
      <c r="K59" s="130">
        <f t="shared" si="15"/>
        <v>6089.43</v>
      </c>
      <c r="L59" s="130">
        <f t="shared" si="15"/>
        <v>6089.43</v>
      </c>
      <c r="M59" s="130">
        <f t="shared" si="15"/>
        <v>6089.43</v>
      </c>
      <c r="N59" s="130">
        <f t="shared" si="15"/>
        <v>6089.43</v>
      </c>
      <c r="O59" s="105">
        <f t="shared" si="14"/>
        <v>73073.16</v>
      </c>
    </row>
    <row r="60" spans="1:16" ht="20.25" customHeight="1">
      <c r="A60" s="47" t="s">
        <v>68</v>
      </c>
      <c r="B60" s="100" t="s">
        <v>69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0">
        <v>21736.62</v>
      </c>
      <c r="N60" s="130">
        <v>0</v>
      </c>
      <c r="O60" s="105">
        <f t="shared" si="14"/>
        <v>21736.62</v>
      </c>
    </row>
    <row r="61" spans="1:16" ht="20.25" customHeight="1">
      <c r="A61" s="47" t="s">
        <v>70</v>
      </c>
      <c r="B61" s="100" t="s">
        <v>67</v>
      </c>
      <c r="C61" s="130">
        <f>2500</f>
        <v>2500</v>
      </c>
      <c r="D61" s="130">
        <v>0</v>
      </c>
      <c r="E61" s="130">
        <v>2500</v>
      </c>
      <c r="F61" s="130">
        <f>2500</f>
        <v>2500</v>
      </c>
      <c r="G61" s="130">
        <f>2500</f>
        <v>2500</v>
      </c>
      <c r="H61" s="130">
        <f>2500</f>
        <v>2500</v>
      </c>
      <c r="I61" s="130">
        <f>2500</f>
        <v>2500</v>
      </c>
      <c r="J61" s="130">
        <f>2500</f>
        <v>2500</v>
      </c>
      <c r="K61" s="130">
        <f>2500</f>
        <v>2500</v>
      </c>
      <c r="L61" s="130">
        <f>2500</f>
        <v>2500</v>
      </c>
      <c r="M61" s="130">
        <f>2500</f>
        <v>2500</v>
      </c>
      <c r="N61" s="130">
        <f>2500</f>
        <v>2500</v>
      </c>
      <c r="O61" s="105">
        <f t="shared" si="14"/>
        <v>27500</v>
      </c>
    </row>
    <row r="62" spans="1:16" ht="20.25" customHeight="1">
      <c r="A62" s="47" t="s">
        <v>71</v>
      </c>
      <c r="B62" s="101"/>
      <c r="C62" s="130">
        <v>1940.41</v>
      </c>
      <c r="D62" s="130">
        <v>948</v>
      </c>
      <c r="E62" s="130">
        <v>423.18</v>
      </c>
      <c r="F62" s="130">
        <v>2540</v>
      </c>
      <c r="G62" s="130">
        <v>2540</v>
      </c>
      <c r="H62" s="130">
        <v>2540</v>
      </c>
      <c r="I62" s="130">
        <v>2540</v>
      </c>
      <c r="J62" s="130">
        <v>2540</v>
      </c>
      <c r="K62" s="130">
        <v>2540</v>
      </c>
      <c r="L62" s="130">
        <v>2540</v>
      </c>
      <c r="M62" s="130">
        <v>2540</v>
      </c>
      <c r="N62" s="130">
        <v>2540</v>
      </c>
      <c r="O62" s="105">
        <f t="shared" si="14"/>
        <v>26171.59</v>
      </c>
    </row>
    <row r="63" spans="1:16" ht="20.25" customHeight="1">
      <c r="A63" s="64" t="s">
        <v>72</v>
      </c>
      <c r="B63" s="7"/>
      <c r="C63" s="106">
        <f t="shared" ref="C63:O63" si="16">SUM(C55:C62)</f>
        <v>20396.939999999999</v>
      </c>
      <c r="D63" s="106">
        <f t="shared" si="16"/>
        <v>15377.99</v>
      </c>
      <c r="E63" s="106">
        <f t="shared" si="16"/>
        <v>23284.28</v>
      </c>
      <c r="F63" s="106">
        <f t="shared" si="16"/>
        <v>21310.010000000002</v>
      </c>
      <c r="G63" s="106">
        <f t="shared" si="16"/>
        <v>21310.010000000002</v>
      </c>
      <c r="H63" s="106">
        <f t="shared" si="16"/>
        <v>21310.010000000002</v>
      </c>
      <c r="I63" s="106">
        <f t="shared" si="16"/>
        <v>22698.989999999998</v>
      </c>
      <c r="J63" s="106">
        <f t="shared" si="16"/>
        <v>21310.010000000002</v>
      </c>
      <c r="K63" s="106">
        <f t="shared" si="16"/>
        <v>22698.989999999998</v>
      </c>
      <c r="L63" s="106">
        <f t="shared" si="16"/>
        <v>22765.9</v>
      </c>
      <c r="M63" s="106">
        <f t="shared" si="16"/>
        <v>44474.509999999995</v>
      </c>
      <c r="N63" s="106">
        <f t="shared" si="16"/>
        <v>21317.1</v>
      </c>
      <c r="O63" s="106">
        <f t="shared" si="16"/>
        <v>278254.74000000005</v>
      </c>
      <c r="P63" s="14"/>
    </row>
    <row r="64" spans="1:16" ht="24.75" customHeight="1">
      <c r="A64" s="63" t="s">
        <v>73</v>
      </c>
      <c r="B64" s="99"/>
      <c r="C64" s="78" t="str">
        <f t="shared" ref="C64:O64" si="17">C54</f>
        <v>Janeiro</v>
      </c>
      <c r="D64" s="78" t="str">
        <f t="shared" si="17"/>
        <v>Fevereiro</v>
      </c>
      <c r="E64" s="78" t="str">
        <f t="shared" si="17"/>
        <v xml:space="preserve">Março </v>
      </c>
      <c r="F64" s="78" t="str">
        <f t="shared" si="17"/>
        <v>Abril</v>
      </c>
      <c r="G64" s="78" t="str">
        <f t="shared" si="17"/>
        <v>Maio</v>
      </c>
      <c r="H64" s="78" t="str">
        <f t="shared" si="17"/>
        <v>Junho</v>
      </c>
      <c r="I64" s="78" t="str">
        <f t="shared" si="17"/>
        <v>Julho</v>
      </c>
      <c r="J64" s="78" t="str">
        <f t="shared" si="17"/>
        <v>Agosto</v>
      </c>
      <c r="K64" s="78" t="str">
        <f t="shared" si="17"/>
        <v>Setembro</v>
      </c>
      <c r="L64" s="78" t="str">
        <f t="shared" si="17"/>
        <v>Outubro</v>
      </c>
      <c r="M64" s="78" t="str">
        <f t="shared" si="17"/>
        <v>Novembro</v>
      </c>
      <c r="N64" s="78" t="str">
        <f t="shared" si="17"/>
        <v>Dezembro</v>
      </c>
      <c r="O64" s="40" t="str">
        <f t="shared" si="17"/>
        <v xml:space="preserve">TOTAL </v>
      </c>
    </row>
    <row r="65" spans="1:15" ht="24.75" customHeight="1">
      <c r="A65" s="65" t="s">
        <v>990</v>
      </c>
      <c r="B65" s="102"/>
      <c r="C65" s="130">
        <v>499</v>
      </c>
      <c r="D65" s="130">
        <v>499</v>
      </c>
      <c r="E65" s="130">
        <v>499</v>
      </c>
      <c r="F65" s="130">
        <v>499</v>
      </c>
      <c r="G65" s="130">
        <v>499</v>
      </c>
      <c r="H65" s="130">
        <v>499</v>
      </c>
      <c r="I65" s="130">
        <v>499</v>
      </c>
      <c r="J65" s="130">
        <v>499</v>
      </c>
      <c r="K65" s="130">
        <v>499</v>
      </c>
      <c r="L65" s="130">
        <v>499</v>
      </c>
      <c r="M65" s="130">
        <f>L65*1.02</f>
        <v>508.98</v>
      </c>
      <c r="N65" s="130">
        <v>508.98</v>
      </c>
      <c r="O65" s="105">
        <f t="shared" ref="O65:O90" si="18">SUM(C65:N65)</f>
        <v>6007.9599999999991</v>
      </c>
    </row>
    <row r="66" spans="1:15" ht="20.25" customHeight="1">
      <c r="A66" s="47" t="s">
        <v>76</v>
      </c>
      <c r="B66" s="100" t="s">
        <v>991</v>
      </c>
      <c r="C66" s="133">
        <v>0</v>
      </c>
      <c r="D66" s="133">
        <v>0</v>
      </c>
      <c r="E66" s="133">
        <v>0</v>
      </c>
      <c r="F66" s="130">
        <v>495228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05">
        <f t="shared" si="18"/>
        <v>495228</v>
      </c>
    </row>
    <row r="67" spans="1:15" ht="25.5" customHeight="1">
      <c r="A67" s="47" t="s">
        <v>78</v>
      </c>
      <c r="B67" s="100" t="s">
        <v>79</v>
      </c>
      <c r="C67" s="133">
        <v>0</v>
      </c>
      <c r="D67" s="133">
        <v>0</v>
      </c>
      <c r="E67" s="133">
        <v>0</v>
      </c>
      <c r="F67" s="130">
        <v>123249.4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05">
        <f t="shared" si="18"/>
        <v>123249.4</v>
      </c>
    </row>
    <row r="68" spans="1:15" ht="20.25" customHeight="1">
      <c r="A68" s="47" t="s">
        <v>82</v>
      </c>
      <c r="B68" s="100" t="s">
        <v>83</v>
      </c>
      <c r="C68" s="134">
        <v>140369.67000000001</v>
      </c>
      <c r="D68" s="134">
        <f>C68</f>
        <v>140369.67000000001</v>
      </c>
      <c r="E68" s="134">
        <f t="shared" ref="E68:N69" si="19">D68</f>
        <v>140369.67000000001</v>
      </c>
      <c r="F68" s="134">
        <f t="shared" si="19"/>
        <v>140369.67000000001</v>
      </c>
      <c r="G68" s="134">
        <f t="shared" si="19"/>
        <v>140369.67000000001</v>
      </c>
      <c r="H68" s="134">
        <f t="shared" si="19"/>
        <v>140369.67000000001</v>
      </c>
      <c r="I68" s="134">
        <f t="shared" si="19"/>
        <v>140369.67000000001</v>
      </c>
      <c r="J68" s="134">
        <f t="shared" si="19"/>
        <v>140369.67000000001</v>
      </c>
      <c r="K68" s="134">
        <f t="shared" si="19"/>
        <v>140369.67000000001</v>
      </c>
      <c r="L68" s="134">
        <f t="shared" si="19"/>
        <v>140369.67000000001</v>
      </c>
      <c r="M68" s="134">
        <f t="shared" si="19"/>
        <v>140369.67000000001</v>
      </c>
      <c r="N68" s="134">
        <f t="shared" si="19"/>
        <v>140369.67000000001</v>
      </c>
      <c r="O68" s="105">
        <f t="shared" si="18"/>
        <v>1684436.0399999998</v>
      </c>
    </row>
    <row r="69" spans="1:15" ht="21" customHeight="1">
      <c r="A69" s="47" t="s">
        <v>84</v>
      </c>
      <c r="B69" s="96" t="s">
        <v>85</v>
      </c>
      <c r="C69" s="134">
        <v>3276</v>
      </c>
      <c r="D69" s="134">
        <f>C69</f>
        <v>3276</v>
      </c>
      <c r="E69" s="134">
        <f>D69</f>
        <v>3276</v>
      </c>
      <c r="F69" s="134">
        <f>E69</f>
        <v>3276</v>
      </c>
      <c r="G69" s="134">
        <f>F69</f>
        <v>3276</v>
      </c>
      <c r="H69" s="134">
        <f>G69</f>
        <v>3276</v>
      </c>
      <c r="I69" s="134">
        <f>H69</f>
        <v>3276</v>
      </c>
      <c r="J69" s="134">
        <f t="shared" si="19"/>
        <v>3276</v>
      </c>
      <c r="K69" s="134">
        <f t="shared" si="19"/>
        <v>3276</v>
      </c>
      <c r="L69" s="134">
        <f t="shared" si="19"/>
        <v>3276</v>
      </c>
      <c r="M69" s="134">
        <f t="shared" si="19"/>
        <v>3276</v>
      </c>
      <c r="N69" s="134">
        <f t="shared" si="19"/>
        <v>3276</v>
      </c>
      <c r="O69" s="105">
        <f t="shared" si="18"/>
        <v>39312</v>
      </c>
    </row>
    <row r="70" spans="1:15" ht="20.25" customHeight="1">
      <c r="A70" s="47" t="s">
        <v>86</v>
      </c>
      <c r="B70" s="100" t="s">
        <v>87</v>
      </c>
      <c r="C70" s="134">
        <v>223661.41</v>
      </c>
      <c r="D70" s="134">
        <v>229486.47</v>
      </c>
      <c r="E70" s="134">
        <v>227907.73</v>
      </c>
      <c r="F70" s="134">
        <v>225419.93</v>
      </c>
      <c r="G70" s="134">
        <v>232257.67</v>
      </c>
      <c r="H70" s="134">
        <v>241199.33</v>
      </c>
      <c r="I70" s="134">
        <v>241199.33</v>
      </c>
      <c r="J70" s="134">
        <v>241199.33</v>
      </c>
      <c r="K70" s="134">
        <v>241199.33</v>
      </c>
      <c r="L70" s="134">
        <v>241199.33</v>
      </c>
      <c r="M70" s="134">
        <v>241199.33</v>
      </c>
      <c r="N70" s="134">
        <v>241199.33</v>
      </c>
      <c r="O70" s="105">
        <f t="shared" si="18"/>
        <v>2827128.5200000005</v>
      </c>
    </row>
    <row r="71" spans="1:15" ht="21" customHeight="1">
      <c r="A71" s="47" t="s">
        <v>992</v>
      </c>
      <c r="B71" s="100"/>
      <c r="C71" s="130">
        <v>239367.44</v>
      </c>
      <c r="D71" s="130">
        <v>307868.42</v>
      </c>
      <c r="E71" s="130">
        <v>307868.42</v>
      </c>
      <c r="F71" s="130">
        <v>239367.44</v>
      </c>
      <c r="G71" s="130">
        <v>239367.44</v>
      </c>
      <c r="H71" s="130">
        <v>239367.44</v>
      </c>
      <c r="I71" s="130">
        <v>239367.44</v>
      </c>
      <c r="J71" s="130">
        <v>239367.44</v>
      </c>
      <c r="K71" s="130">
        <v>239367.44</v>
      </c>
      <c r="L71" s="130">
        <v>239367.44</v>
      </c>
      <c r="M71" s="130">
        <v>239367.44</v>
      </c>
      <c r="N71" s="130">
        <v>307868.42</v>
      </c>
      <c r="O71" s="105">
        <f t="shared" si="18"/>
        <v>3077912.2199999997</v>
      </c>
    </row>
    <row r="72" spans="1:15" ht="21" customHeight="1">
      <c r="A72" s="47" t="s">
        <v>993</v>
      </c>
      <c r="B72" s="100"/>
      <c r="C72" s="134">
        <v>103999.89</v>
      </c>
      <c r="D72" s="134">
        <v>97499.91</v>
      </c>
      <c r="E72" s="134">
        <v>97499.91</v>
      </c>
      <c r="F72" s="134">
        <v>97499.91</v>
      </c>
      <c r="G72" s="134">
        <v>97499.91</v>
      </c>
      <c r="H72" s="134">
        <v>97499.91</v>
      </c>
      <c r="I72" s="134">
        <v>97499.91</v>
      </c>
      <c r="J72" s="134">
        <v>97499.91</v>
      </c>
      <c r="K72" s="134">
        <v>97499.91</v>
      </c>
      <c r="L72" s="134">
        <v>97499.91</v>
      </c>
      <c r="M72" s="134">
        <v>97499.91</v>
      </c>
      <c r="N72" s="134">
        <v>97499.91</v>
      </c>
      <c r="O72" s="105">
        <f t="shared" si="18"/>
        <v>1176498.9000000001</v>
      </c>
    </row>
    <row r="73" spans="1:15" ht="20.25" customHeight="1">
      <c r="A73" s="47" t="s">
        <v>93</v>
      </c>
      <c r="B73" s="100" t="s">
        <v>81</v>
      </c>
      <c r="C73" s="134">
        <v>7938.77</v>
      </c>
      <c r="D73" s="134">
        <v>8754.5499999999993</v>
      </c>
      <c r="E73" s="135">
        <v>6663.41</v>
      </c>
      <c r="F73" s="134">
        <v>18776.419999999998</v>
      </c>
      <c r="G73" s="134">
        <v>18776.419999999998</v>
      </c>
      <c r="H73" s="134">
        <v>18776.419999999998</v>
      </c>
      <c r="I73" s="134">
        <v>18776.419999999998</v>
      </c>
      <c r="J73" s="134">
        <v>18776.419999999998</v>
      </c>
      <c r="K73" s="134">
        <v>18776.419999999998</v>
      </c>
      <c r="L73" s="134">
        <v>18776.419999999998</v>
      </c>
      <c r="M73" s="134">
        <v>18776.419999999998</v>
      </c>
      <c r="N73" s="134">
        <v>18776.419999999998</v>
      </c>
      <c r="O73" s="105">
        <f t="shared" si="18"/>
        <v>192344.50999999995</v>
      </c>
    </row>
    <row r="74" spans="1:15" ht="20.25" customHeight="1">
      <c r="A74" s="47" t="s">
        <v>94</v>
      </c>
      <c r="B74" s="100" t="s">
        <v>95</v>
      </c>
      <c r="C74" s="130">
        <v>162647.19</v>
      </c>
      <c r="D74" s="130">
        <v>111082.41</v>
      </c>
      <c r="E74" s="130">
        <v>110878.74</v>
      </c>
      <c r="F74" s="130">
        <v>93561</v>
      </c>
      <c r="G74" s="130">
        <v>93561</v>
      </c>
      <c r="H74" s="130">
        <v>93561</v>
      </c>
      <c r="I74" s="130">
        <v>93561</v>
      </c>
      <c r="J74" s="130">
        <v>93561</v>
      </c>
      <c r="K74" s="130">
        <v>93561</v>
      </c>
      <c r="L74" s="130">
        <v>93561</v>
      </c>
      <c r="M74" s="130">
        <v>93561</v>
      </c>
      <c r="N74" s="130">
        <v>93561</v>
      </c>
      <c r="O74" s="105">
        <f t="shared" si="18"/>
        <v>1226657.3399999999</v>
      </c>
    </row>
    <row r="75" spans="1:15" ht="20.25" customHeight="1">
      <c r="A75" s="47" t="s">
        <v>96</v>
      </c>
      <c r="B75" s="96" t="s">
        <v>97</v>
      </c>
      <c r="C75" s="130">
        <f>15000</f>
        <v>15000</v>
      </c>
      <c r="D75" s="130">
        <f>C75</f>
        <v>15000</v>
      </c>
      <c r="E75" s="130">
        <f>D75</f>
        <v>15000</v>
      </c>
      <c r="F75" s="130">
        <f>E75</f>
        <v>15000</v>
      </c>
      <c r="G75" s="130">
        <f>F75</f>
        <v>15000</v>
      </c>
      <c r="H75" s="130">
        <f>15300</f>
        <v>15300</v>
      </c>
      <c r="I75" s="130">
        <f t="shared" ref="I75:N75" si="20">H75</f>
        <v>15300</v>
      </c>
      <c r="J75" s="130">
        <f t="shared" si="20"/>
        <v>15300</v>
      </c>
      <c r="K75" s="130">
        <f t="shared" si="20"/>
        <v>15300</v>
      </c>
      <c r="L75" s="130">
        <f t="shared" si="20"/>
        <v>15300</v>
      </c>
      <c r="M75" s="130">
        <f t="shared" si="20"/>
        <v>15300</v>
      </c>
      <c r="N75" s="130">
        <f t="shared" si="20"/>
        <v>15300</v>
      </c>
      <c r="O75" s="105">
        <f t="shared" si="18"/>
        <v>182100</v>
      </c>
    </row>
    <row r="76" spans="1:15" ht="20.25" customHeight="1">
      <c r="A76" s="47" t="s">
        <v>1063</v>
      </c>
      <c r="B76" s="100" t="s">
        <v>994</v>
      </c>
      <c r="C76" s="131">
        <v>0</v>
      </c>
      <c r="D76" s="131">
        <v>0</v>
      </c>
      <c r="E76" s="131">
        <v>0</v>
      </c>
      <c r="F76" s="130">
        <v>0</v>
      </c>
      <c r="G76" s="130">
        <v>0</v>
      </c>
      <c r="H76" s="130">
        <v>133333</v>
      </c>
      <c r="I76" s="130">
        <v>133333</v>
      </c>
      <c r="J76" s="130">
        <v>133333</v>
      </c>
      <c r="K76" s="130">
        <v>133333</v>
      </c>
      <c r="L76" s="130">
        <v>133333</v>
      </c>
      <c r="M76" s="130">
        <v>133333</v>
      </c>
      <c r="N76" s="130">
        <v>133333</v>
      </c>
      <c r="O76" s="105">
        <f t="shared" si="18"/>
        <v>933331</v>
      </c>
    </row>
    <row r="77" spans="1:15" ht="20.25" customHeight="1">
      <c r="A77" s="47" t="s">
        <v>1064</v>
      </c>
      <c r="B77" s="100"/>
      <c r="C77" s="131"/>
      <c r="D77" s="131"/>
      <c r="E77" s="131"/>
      <c r="F77" s="130"/>
      <c r="G77" s="130"/>
      <c r="H77" s="130">
        <v>108333</v>
      </c>
      <c r="I77" s="130">
        <v>108333</v>
      </c>
      <c r="J77" s="130">
        <v>108333</v>
      </c>
      <c r="K77" s="130">
        <v>108333</v>
      </c>
      <c r="L77" s="130">
        <v>108333</v>
      </c>
      <c r="M77" s="130">
        <v>108333</v>
      </c>
      <c r="N77" s="130">
        <v>108333</v>
      </c>
      <c r="O77" s="105">
        <f t="shared" si="18"/>
        <v>758331</v>
      </c>
    </row>
    <row r="78" spans="1:15" ht="20.25" customHeight="1">
      <c r="A78" s="47" t="s">
        <v>1065</v>
      </c>
      <c r="B78" s="100"/>
      <c r="C78" s="131"/>
      <c r="D78" s="131"/>
      <c r="E78" s="131"/>
      <c r="F78" s="130"/>
      <c r="G78" s="130"/>
      <c r="H78" s="130">
        <v>21000</v>
      </c>
      <c r="I78" s="130">
        <v>21000</v>
      </c>
      <c r="J78" s="130">
        <v>21000</v>
      </c>
      <c r="K78" s="130">
        <v>21000</v>
      </c>
      <c r="L78" s="130">
        <v>21000</v>
      </c>
      <c r="M78" s="130">
        <v>21000</v>
      </c>
      <c r="N78" s="130">
        <v>21000</v>
      </c>
      <c r="O78" s="105">
        <f t="shared" si="18"/>
        <v>147000</v>
      </c>
    </row>
    <row r="79" spans="1:15" ht="20.25" customHeight="1">
      <c r="A79" s="47" t="s">
        <v>995</v>
      </c>
      <c r="B79" s="100" t="s">
        <v>101</v>
      </c>
      <c r="C79" s="130">
        <v>1200</v>
      </c>
      <c r="D79" s="130">
        <v>0</v>
      </c>
      <c r="E79" s="130">
        <v>2400</v>
      </c>
      <c r="F79" s="130">
        <v>1200</v>
      </c>
      <c r="G79" s="130">
        <v>1224</v>
      </c>
      <c r="H79" s="130">
        <v>1224</v>
      </c>
      <c r="I79" s="130">
        <v>1224</v>
      </c>
      <c r="J79" s="130">
        <v>1224</v>
      </c>
      <c r="K79" s="130">
        <v>1224</v>
      </c>
      <c r="L79" s="130">
        <v>1224</v>
      </c>
      <c r="M79" s="130">
        <v>1224</v>
      </c>
      <c r="N79" s="130">
        <v>1224</v>
      </c>
      <c r="O79" s="105">
        <f t="shared" si="18"/>
        <v>14592</v>
      </c>
    </row>
    <row r="80" spans="1:15" ht="20.25" customHeight="1">
      <c r="A80" s="47" t="s">
        <v>102</v>
      </c>
      <c r="B80" s="100" t="s">
        <v>103</v>
      </c>
      <c r="C80" s="130">
        <v>0</v>
      </c>
      <c r="D80" s="130">
        <v>0</v>
      </c>
      <c r="E80" s="130">
        <v>0</v>
      </c>
      <c r="F80" s="130">
        <v>892.5</v>
      </c>
      <c r="G80" s="130">
        <v>892.5</v>
      </c>
      <c r="H80" s="130">
        <v>892.5</v>
      </c>
      <c r="I80" s="130">
        <v>892.5</v>
      </c>
      <c r="J80" s="130">
        <v>892.5</v>
      </c>
      <c r="K80" s="130">
        <v>892.5</v>
      </c>
      <c r="L80" s="130">
        <v>892.5</v>
      </c>
      <c r="M80" s="130">
        <v>892.5</v>
      </c>
      <c r="N80" s="130">
        <v>892.5</v>
      </c>
      <c r="O80" s="105">
        <f t="shared" si="18"/>
        <v>8032.5</v>
      </c>
    </row>
    <row r="81" spans="1:16" ht="20.25" customHeight="1">
      <c r="A81" s="47" t="s">
        <v>104</v>
      </c>
      <c r="B81" s="96" t="s">
        <v>105</v>
      </c>
      <c r="C81" s="130">
        <v>0</v>
      </c>
      <c r="D81" s="130">
        <v>0</v>
      </c>
      <c r="E81" s="130">
        <v>45817</v>
      </c>
      <c r="F81" s="130">
        <v>15336.3</v>
      </c>
      <c r="G81" s="130">
        <v>15336.3</v>
      </c>
      <c r="H81" s="130">
        <v>15336.3</v>
      </c>
      <c r="I81" s="130">
        <v>15336.3</v>
      </c>
      <c r="J81" s="130">
        <v>15336.3</v>
      </c>
      <c r="K81" s="130">
        <v>15336.3</v>
      </c>
      <c r="L81" s="130">
        <f>K81*1.02</f>
        <v>15643.026</v>
      </c>
      <c r="M81" s="130">
        <v>15643.03</v>
      </c>
      <c r="N81" s="130">
        <v>15643.03</v>
      </c>
      <c r="O81" s="105">
        <f t="shared" si="18"/>
        <v>184763.88600000003</v>
      </c>
    </row>
    <row r="82" spans="1:16" ht="20.25" customHeight="1">
      <c r="A82" s="65" t="s">
        <v>106</v>
      </c>
      <c r="B82" s="100" t="s">
        <v>996</v>
      </c>
      <c r="C82" s="130">
        <v>0</v>
      </c>
      <c r="D82" s="130">
        <v>0</v>
      </c>
      <c r="E82" s="130">
        <v>0</v>
      </c>
      <c r="F82" s="130">
        <v>0</v>
      </c>
      <c r="G82" s="130">
        <v>0</v>
      </c>
      <c r="H82" s="130">
        <v>27761</v>
      </c>
      <c r="I82" s="130">
        <f t="shared" ref="H82:N84" si="21">H82</f>
        <v>27761</v>
      </c>
      <c r="J82" s="130">
        <f t="shared" si="21"/>
        <v>27761</v>
      </c>
      <c r="K82" s="130">
        <f t="shared" si="21"/>
        <v>27761</v>
      </c>
      <c r="L82" s="130">
        <f t="shared" si="21"/>
        <v>27761</v>
      </c>
      <c r="M82" s="130">
        <f t="shared" si="21"/>
        <v>27761</v>
      </c>
      <c r="N82" s="130">
        <f t="shared" si="21"/>
        <v>27761</v>
      </c>
      <c r="O82" s="105">
        <f t="shared" si="18"/>
        <v>194327</v>
      </c>
    </row>
    <row r="83" spans="1:16" ht="20.25" customHeight="1">
      <c r="A83" s="47" t="s">
        <v>108</v>
      </c>
      <c r="B83" s="100" t="s">
        <v>109</v>
      </c>
      <c r="C83" s="134">
        <v>40930.32</v>
      </c>
      <c r="D83" s="134">
        <f>C83</f>
        <v>40930.32</v>
      </c>
      <c r="E83" s="134">
        <f>D83</f>
        <v>40930.32</v>
      </c>
      <c r="F83" s="134">
        <f>E83</f>
        <v>40930.32</v>
      </c>
      <c r="G83" s="134">
        <f>F83</f>
        <v>40930.32</v>
      </c>
      <c r="H83" s="130">
        <v>0</v>
      </c>
      <c r="I83" s="130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0</v>
      </c>
      <c r="O83" s="105">
        <f t="shared" si="18"/>
        <v>204651.6</v>
      </c>
    </row>
    <row r="84" spans="1:16" ht="20.25" customHeight="1">
      <c r="A84" s="47" t="s">
        <v>110</v>
      </c>
      <c r="B84" s="100" t="s">
        <v>111</v>
      </c>
      <c r="C84" s="134">
        <f>5108.15</f>
        <v>5108.1499999999996</v>
      </c>
      <c r="D84" s="134">
        <f>C84</f>
        <v>5108.1499999999996</v>
      </c>
      <c r="E84" s="134">
        <v>0</v>
      </c>
      <c r="F84" s="134">
        <v>10420.620000000001</v>
      </c>
      <c r="G84" s="134">
        <f>F84</f>
        <v>10420.620000000001</v>
      </c>
      <c r="H84" s="134">
        <f t="shared" si="21"/>
        <v>10420.620000000001</v>
      </c>
      <c r="I84" s="134">
        <f t="shared" si="21"/>
        <v>10420.620000000001</v>
      </c>
      <c r="J84" s="134">
        <f t="shared" si="21"/>
        <v>10420.620000000001</v>
      </c>
      <c r="K84" s="134">
        <f t="shared" si="21"/>
        <v>10420.620000000001</v>
      </c>
      <c r="L84" s="134">
        <f t="shared" si="21"/>
        <v>10420.620000000001</v>
      </c>
      <c r="M84" s="134">
        <f t="shared" si="21"/>
        <v>10420.620000000001</v>
      </c>
      <c r="N84" s="134">
        <f t="shared" si="21"/>
        <v>10420.620000000001</v>
      </c>
      <c r="O84" s="105">
        <f t="shared" si="18"/>
        <v>104001.87999999999</v>
      </c>
    </row>
    <row r="85" spans="1:16" ht="20.25" customHeight="1">
      <c r="A85" s="47" t="s">
        <v>997</v>
      </c>
      <c r="B85" s="101"/>
      <c r="C85" s="130">
        <v>0</v>
      </c>
      <c r="D85" s="130">
        <v>0</v>
      </c>
      <c r="E85" s="130">
        <v>0</v>
      </c>
      <c r="F85" s="130">
        <v>20000</v>
      </c>
      <c r="G85" s="130">
        <v>20000</v>
      </c>
      <c r="H85" s="130">
        <v>20000</v>
      </c>
      <c r="I85" s="130">
        <v>20000</v>
      </c>
      <c r="J85" s="130">
        <v>20000</v>
      </c>
      <c r="K85" s="130">
        <v>20000</v>
      </c>
      <c r="L85" s="130">
        <v>20000</v>
      </c>
      <c r="M85" s="130">
        <v>20000</v>
      </c>
      <c r="N85" s="130">
        <v>20000</v>
      </c>
      <c r="O85" s="105">
        <f t="shared" si="18"/>
        <v>180000</v>
      </c>
    </row>
    <row r="86" spans="1:16" ht="20.25" customHeight="1">
      <c r="A86" s="47" t="s">
        <v>998</v>
      </c>
      <c r="B86" s="101" t="s">
        <v>980</v>
      </c>
      <c r="C86" s="136"/>
      <c r="D86" s="136">
        <v>0</v>
      </c>
      <c r="E86" s="136">
        <v>0</v>
      </c>
      <c r="F86" s="136">
        <v>1500</v>
      </c>
      <c r="G86" s="130">
        <v>1500</v>
      </c>
      <c r="H86" s="130"/>
      <c r="I86" s="130"/>
      <c r="J86" s="130"/>
      <c r="K86" s="130"/>
      <c r="L86" s="130"/>
      <c r="M86" s="130"/>
      <c r="N86" s="130"/>
      <c r="O86" s="105">
        <f t="shared" si="18"/>
        <v>3000</v>
      </c>
    </row>
    <row r="87" spans="1:16" ht="20.25" customHeight="1">
      <c r="A87" s="47" t="s">
        <v>999</v>
      </c>
      <c r="B87" s="101" t="s">
        <v>1000</v>
      </c>
      <c r="C87" s="130"/>
      <c r="D87" s="130"/>
      <c r="E87" s="130"/>
      <c r="F87" s="130">
        <v>14000</v>
      </c>
      <c r="G87" s="130"/>
      <c r="H87" s="130"/>
      <c r="I87" s="130"/>
      <c r="J87" s="130"/>
      <c r="K87" s="130"/>
      <c r="L87" s="130"/>
      <c r="M87" s="130"/>
      <c r="N87" s="130"/>
      <c r="O87" s="105">
        <f t="shared" si="18"/>
        <v>14000</v>
      </c>
    </row>
    <row r="88" spans="1:16" ht="20.25" customHeight="1">
      <c r="A88" s="47" t="s">
        <v>1001</v>
      </c>
      <c r="B88" s="101" t="s">
        <v>1000</v>
      </c>
      <c r="C88" s="130"/>
      <c r="D88" s="130"/>
      <c r="E88" s="130">
        <v>0</v>
      </c>
      <c r="F88" s="130">
        <v>1600</v>
      </c>
      <c r="G88" s="130"/>
      <c r="H88" s="130"/>
      <c r="I88" s="130">
        <v>2000</v>
      </c>
      <c r="J88" s="130"/>
      <c r="K88" s="130"/>
      <c r="L88" s="130"/>
      <c r="M88" s="130"/>
      <c r="N88" s="130"/>
      <c r="O88" s="105">
        <f t="shared" si="18"/>
        <v>3600</v>
      </c>
    </row>
    <row r="89" spans="1:16" ht="20.25" customHeight="1">
      <c r="A89" s="47" t="s">
        <v>1002</v>
      </c>
      <c r="B89" s="93" t="s">
        <v>1000</v>
      </c>
      <c r="C89" s="132"/>
      <c r="D89" s="132"/>
      <c r="E89" s="132"/>
      <c r="F89" s="130"/>
      <c r="G89" s="130"/>
      <c r="H89" s="130">
        <v>1700</v>
      </c>
      <c r="I89" s="130"/>
      <c r="J89" s="130"/>
      <c r="K89" s="130"/>
      <c r="L89" s="130"/>
      <c r="M89" s="130"/>
      <c r="N89" s="130"/>
      <c r="O89" s="105">
        <f t="shared" si="18"/>
        <v>1700</v>
      </c>
    </row>
    <row r="90" spans="1:16" s="4" customFormat="1" ht="20.25" customHeight="1">
      <c r="A90" s="47" t="s">
        <v>1003</v>
      </c>
      <c r="B90" s="101" t="s">
        <v>1000</v>
      </c>
      <c r="C90" s="134"/>
      <c r="D90" s="134"/>
      <c r="E90" s="134">
        <v>0</v>
      </c>
      <c r="F90" s="134">
        <v>90</v>
      </c>
      <c r="G90" s="134"/>
      <c r="H90" s="134"/>
      <c r="I90" s="134"/>
      <c r="J90" s="134"/>
      <c r="K90" s="134"/>
      <c r="L90" s="134">
        <v>500</v>
      </c>
      <c r="M90" s="134"/>
      <c r="N90" s="134"/>
      <c r="O90" s="105">
        <f t="shared" si="18"/>
        <v>590</v>
      </c>
    </row>
    <row r="91" spans="1:16" ht="20.25" customHeight="1">
      <c r="A91" s="64" t="s">
        <v>1004</v>
      </c>
      <c r="B91" s="7"/>
      <c r="C91" s="106">
        <f>SUM(C65:C90)</f>
        <v>943997.84000000008</v>
      </c>
      <c r="D91" s="106">
        <f t="shared" ref="D91:N91" si="22">SUM(D65:D90)</f>
        <v>959874.90000000014</v>
      </c>
      <c r="E91" s="106">
        <f t="shared" si="22"/>
        <v>999110.20000000007</v>
      </c>
      <c r="F91" s="106">
        <f t="shared" si="22"/>
        <v>1558216.51</v>
      </c>
      <c r="G91" s="106">
        <f t="shared" si="22"/>
        <v>930910.85000000009</v>
      </c>
      <c r="H91" s="106">
        <f t="shared" si="22"/>
        <v>1189849.1900000002</v>
      </c>
      <c r="I91" s="106">
        <f t="shared" si="22"/>
        <v>1190149.1900000002</v>
      </c>
      <c r="J91" s="106">
        <f t="shared" si="22"/>
        <v>1188149.1900000002</v>
      </c>
      <c r="K91" s="106">
        <f t="shared" si="22"/>
        <v>1188149.1900000002</v>
      </c>
      <c r="L91" s="106">
        <f t="shared" si="22"/>
        <v>1188955.9160000002</v>
      </c>
      <c r="M91" s="106">
        <f t="shared" si="22"/>
        <v>1188465.9000000001</v>
      </c>
      <c r="N91" s="106">
        <f t="shared" si="22"/>
        <v>1256966.8800000001</v>
      </c>
      <c r="O91" s="106">
        <f>SUM(O65:O90)</f>
        <v>13782795.755999999</v>
      </c>
      <c r="P91" s="14"/>
    </row>
    <row r="92" spans="1:16" ht="27" customHeight="1">
      <c r="A92" s="63" t="s">
        <v>116</v>
      </c>
      <c r="B92" s="46"/>
      <c r="C92" s="78" t="str">
        <f t="shared" ref="C92:O92" si="23">C64</f>
        <v>Janeiro</v>
      </c>
      <c r="D92" s="78" t="str">
        <f t="shared" si="23"/>
        <v>Fevereiro</v>
      </c>
      <c r="E92" s="78" t="str">
        <f t="shared" si="23"/>
        <v xml:space="preserve">Março </v>
      </c>
      <c r="F92" s="78" t="str">
        <f t="shared" si="23"/>
        <v>Abril</v>
      </c>
      <c r="G92" s="78" t="str">
        <f t="shared" si="23"/>
        <v>Maio</v>
      </c>
      <c r="H92" s="78" t="str">
        <f t="shared" si="23"/>
        <v>Junho</v>
      </c>
      <c r="I92" s="78" t="str">
        <f t="shared" si="23"/>
        <v>Julho</v>
      </c>
      <c r="J92" s="78" t="str">
        <f t="shared" si="23"/>
        <v>Agosto</v>
      </c>
      <c r="K92" s="78" t="str">
        <f t="shared" si="23"/>
        <v>Setembro</v>
      </c>
      <c r="L92" s="78" t="str">
        <f t="shared" si="23"/>
        <v>Outubro</v>
      </c>
      <c r="M92" s="78" t="str">
        <f t="shared" si="23"/>
        <v>Novembro</v>
      </c>
      <c r="N92" s="78" t="str">
        <f t="shared" si="23"/>
        <v>Dezembro</v>
      </c>
      <c r="O92" s="40" t="str">
        <f t="shared" si="23"/>
        <v xml:space="preserve">TOTAL </v>
      </c>
    </row>
    <row r="93" spans="1:16" ht="20.25" customHeight="1">
      <c r="A93" s="65" t="s">
        <v>117</v>
      </c>
      <c r="B93" s="60"/>
      <c r="C93" s="130">
        <v>20000</v>
      </c>
      <c r="D93" s="130">
        <v>10000</v>
      </c>
      <c r="E93" s="130">
        <v>10000</v>
      </c>
      <c r="F93" s="130">
        <v>10200</v>
      </c>
      <c r="G93" s="130">
        <v>10200</v>
      </c>
      <c r="H93" s="130">
        <v>10200</v>
      </c>
      <c r="I93" s="130">
        <v>10200</v>
      </c>
      <c r="J93" s="130">
        <v>10200</v>
      </c>
      <c r="K93" s="130">
        <v>10200</v>
      </c>
      <c r="L93" s="130">
        <v>10200</v>
      </c>
      <c r="M93" s="130">
        <v>10200</v>
      </c>
      <c r="N93" s="130">
        <v>10200</v>
      </c>
      <c r="O93" s="105">
        <f t="shared" ref="O93:O119" si="24">SUM(C93:N93)</f>
        <v>131800</v>
      </c>
    </row>
    <row r="94" spans="1:16" ht="20.25" customHeight="1">
      <c r="A94" s="47" t="s">
        <v>119</v>
      </c>
      <c r="B94" s="47"/>
      <c r="C94" s="131"/>
      <c r="D94" s="131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05">
        <f t="shared" si="24"/>
        <v>0</v>
      </c>
    </row>
    <row r="95" spans="1:16" ht="20.25" customHeight="1">
      <c r="A95" s="47" t="s">
        <v>1005</v>
      </c>
      <c r="C95" s="131">
        <v>0</v>
      </c>
      <c r="D95" s="130">
        <v>15640</v>
      </c>
      <c r="E95" s="130">
        <v>0</v>
      </c>
      <c r="F95" s="130">
        <v>0</v>
      </c>
      <c r="G95" s="130">
        <v>0</v>
      </c>
      <c r="H95" s="130">
        <v>0</v>
      </c>
      <c r="I95" s="130">
        <v>0</v>
      </c>
      <c r="J95" s="130">
        <v>0</v>
      </c>
      <c r="K95" s="130">
        <v>0</v>
      </c>
      <c r="L95" s="130">
        <v>0</v>
      </c>
      <c r="M95" s="130">
        <v>0</v>
      </c>
      <c r="N95" s="130">
        <v>0</v>
      </c>
      <c r="O95" s="105">
        <f t="shared" si="24"/>
        <v>15640</v>
      </c>
    </row>
    <row r="96" spans="1:16" ht="20.25" customHeight="1">
      <c r="A96" s="65" t="s">
        <v>121</v>
      </c>
      <c r="B96" s="49"/>
      <c r="C96" s="130">
        <v>3300</v>
      </c>
      <c r="D96" s="130">
        <v>3300</v>
      </c>
      <c r="E96" s="130">
        <v>3300</v>
      </c>
      <c r="F96" s="130">
        <v>3300</v>
      </c>
      <c r="G96" s="130">
        <v>3300</v>
      </c>
      <c r="H96" s="130">
        <v>3300</v>
      </c>
      <c r="I96" s="136">
        <v>15193.85</v>
      </c>
      <c r="J96" s="136">
        <v>15193.85</v>
      </c>
      <c r="K96" s="136">
        <v>15193.85</v>
      </c>
      <c r="L96" s="136">
        <v>15193.85</v>
      </c>
      <c r="M96" s="136">
        <v>15193.85</v>
      </c>
      <c r="N96" s="136">
        <v>15193.85</v>
      </c>
      <c r="O96" s="105">
        <f t="shared" si="24"/>
        <v>110963.1</v>
      </c>
    </row>
    <row r="97" spans="1:15" ht="20.25" customHeight="1">
      <c r="A97" s="65" t="s">
        <v>1006</v>
      </c>
      <c r="B97" s="49"/>
      <c r="C97" s="131"/>
      <c r="D97" s="130"/>
      <c r="E97" s="130"/>
      <c r="F97" s="130"/>
      <c r="G97" s="130"/>
      <c r="H97" s="130"/>
      <c r="I97" s="136">
        <v>6511.65</v>
      </c>
      <c r="J97" s="136">
        <v>6511.65</v>
      </c>
      <c r="K97" s="136">
        <v>6511.65</v>
      </c>
      <c r="L97" s="136">
        <v>6511.65</v>
      </c>
      <c r="M97" s="136">
        <v>6511.65</v>
      </c>
      <c r="N97" s="136">
        <v>6511.65</v>
      </c>
      <c r="O97" s="105">
        <f t="shared" si="24"/>
        <v>39069.9</v>
      </c>
    </row>
    <row r="98" spans="1:15" ht="20.25" customHeight="1">
      <c r="A98" s="65" t="s">
        <v>122</v>
      </c>
      <c r="B98" s="49"/>
      <c r="C98" s="130">
        <v>3300</v>
      </c>
      <c r="D98" s="130">
        <v>3300</v>
      </c>
      <c r="E98" s="130">
        <v>3300</v>
      </c>
      <c r="F98" s="130">
        <v>3300</v>
      </c>
      <c r="G98" s="130">
        <v>3300</v>
      </c>
      <c r="H98" s="130">
        <v>3300</v>
      </c>
      <c r="I98" s="136">
        <v>6511.65</v>
      </c>
      <c r="J98" s="136">
        <v>6511.65</v>
      </c>
      <c r="K98" s="136">
        <v>6511.65</v>
      </c>
      <c r="L98" s="136">
        <v>6511.65</v>
      </c>
      <c r="M98" s="136">
        <v>6511.65</v>
      </c>
      <c r="N98" s="136">
        <v>6511.65</v>
      </c>
      <c r="O98" s="105">
        <f t="shared" si="24"/>
        <v>58869.900000000009</v>
      </c>
    </row>
    <row r="99" spans="1:15" ht="20.25" customHeight="1">
      <c r="A99" s="47" t="s">
        <v>123</v>
      </c>
      <c r="B99" s="94" t="s">
        <v>124</v>
      </c>
      <c r="C99" s="130">
        <v>41354.959999999999</v>
      </c>
      <c r="D99" s="130">
        <v>42530.38</v>
      </c>
      <c r="E99" s="130">
        <v>37414.019999999997</v>
      </c>
      <c r="F99" s="130">
        <v>42530.38</v>
      </c>
      <c r="G99" s="130">
        <v>42530.38</v>
      </c>
      <c r="H99" s="130">
        <v>42530.38</v>
      </c>
      <c r="I99" s="130">
        <v>42530.38</v>
      </c>
      <c r="J99" s="130">
        <v>42530.38</v>
      </c>
      <c r="K99" s="130">
        <v>42530.38</v>
      </c>
      <c r="L99" s="130">
        <v>42530.38</v>
      </c>
      <c r="M99" s="130">
        <v>42530.38</v>
      </c>
      <c r="N99" s="130">
        <v>42530.38</v>
      </c>
      <c r="O99" s="105">
        <f t="shared" si="24"/>
        <v>504072.78</v>
      </c>
    </row>
    <row r="100" spans="1:15" ht="20.25" customHeight="1">
      <c r="A100" s="47" t="s">
        <v>125</v>
      </c>
      <c r="B100" s="103" t="s">
        <v>126</v>
      </c>
      <c r="C100" s="130">
        <v>35036.800000000003</v>
      </c>
      <c r="D100" s="130">
        <v>35468.800000000003</v>
      </c>
      <c r="E100" s="130">
        <v>35036.800000000003</v>
      </c>
      <c r="F100" s="130">
        <v>35468.800000000003</v>
      </c>
      <c r="G100" s="130">
        <v>35468.800000000003</v>
      </c>
      <c r="H100" s="130">
        <v>35468.800000000003</v>
      </c>
      <c r="I100" s="130">
        <v>35468.800000000003</v>
      </c>
      <c r="J100" s="130">
        <v>35468.800000000003</v>
      </c>
      <c r="K100" s="130">
        <v>35468.800000000003</v>
      </c>
      <c r="L100" s="130">
        <v>35468.800000000003</v>
      </c>
      <c r="M100" s="130">
        <v>35468.800000000003</v>
      </c>
      <c r="N100" s="130">
        <v>35468.800000000003</v>
      </c>
      <c r="O100" s="105">
        <f t="shared" si="24"/>
        <v>424761.59999999992</v>
      </c>
    </row>
    <row r="101" spans="1:15" ht="20.25" customHeight="1">
      <c r="A101" s="47" t="s">
        <v>1007</v>
      </c>
      <c r="B101" s="103" t="s">
        <v>81</v>
      </c>
      <c r="C101" s="130">
        <v>1350</v>
      </c>
      <c r="D101" s="130">
        <v>1350</v>
      </c>
      <c r="E101" s="130">
        <v>1350</v>
      </c>
      <c r="F101" s="130">
        <v>1377</v>
      </c>
      <c r="G101" s="130">
        <v>1377</v>
      </c>
      <c r="H101" s="130">
        <v>1377</v>
      </c>
      <c r="I101" s="130">
        <v>1377</v>
      </c>
      <c r="J101" s="130">
        <v>1377</v>
      </c>
      <c r="K101" s="130">
        <v>1377</v>
      </c>
      <c r="L101" s="130">
        <v>1377</v>
      </c>
      <c r="M101" s="130">
        <v>1377</v>
      </c>
      <c r="N101" s="130">
        <v>1377</v>
      </c>
      <c r="O101" s="105">
        <f t="shared" si="24"/>
        <v>16443</v>
      </c>
    </row>
    <row r="102" spans="1:15" ht="20.25" customHeight="1">
      <c r="A102" s="47" t="s">
        <v>1008</v>
      </c>
      <c r="B102" s="103"/>
      <c r="C102" s="130">
        <v>16000</v>
      </c>
      <c r="D102" s="131">
        <v>0</v>
      </c>
      <c r="E102" s="130">
        <v>0</v>
      </c>
      <c r="F102" s="130">
        <v>0</v>
      </c>
      <c r="G102" s="130">
        <v>0</v>
      </c>
      <c r="H102" s="130">
        <v>0</v>
      </c>
      <c r="I102" s="130">
        <v>0</v>
      </c>
      <c r="J102" s="130">
        <v>0</v>
      </c>
      <c r="K102" s="130">
        <v>0</v>
      </c>
      <c r="L102" s="130">
        <v>0</v>
      </c>
      <c r="M102" s="130">
        <v>0</v>
      </c>
      <c r="N102" s="130"/>
      <c r="O102" s="105">
        <f t="shared" si="24"/>
        <v>16000</v>
      </c>
    </row>
    <row r="103" spans="1:15" ht="20.25" customHeight="1">
      <c r="A103" s="47" t="s">
        <v>128</v>
      </c>
      <c r="B103" s="95"/>
      <c r="C103" s="131">
        <v>0</v>
      </c>
      <c r="D103" s="131">
        <v>0</v>
      </c>
      <c r="E103" s="130">
        <v>0</v>
      </c>
      <c r="F103" s="130">
        <v>3000</v>
      </c>
      <c r="G103" s="130">
        <v>3000</v>
      </c>
      <c r="H103" s="130">
        <v>3000</v>
      </c>
      <c r="I103" s="130">
        <v>3000</v>
      </c>
      <c r="J103" s="130">
        <v>3000</v>
      </c>
      <c r="K103" s="130">
        <v>3000</v>
      </c>
      <c r="L103" s="130">
        <v>3000</v>
      </c>
      <c r="M103" s="130">
        <v>3000</v>
      </c>
      <c r="N103" s="130">
        <v>3000</v>
      </c>
      <c r="O103" s="105">
        <f t="shared" si="24"/>
        <v>27000</v>
      </c>
    </row>
    <row r="104" spans="1:15" ht="20.25" customHeight="1">
      <c r="A104" s="47" t="s">
        <v>129</v>
      </c>
      <c r="B104" s="95"/>
      <c r="C104" s="130">
        <v>4250</v>
      </c>
      <c r="D104" s="130">
        <v>1743.56</v>
      </c>
      <c r="E104" s="130">
        <v>74807.009999999995</v>
      </c>
      <c r="F104" s="130">
        <v>10000</v>
      </c>
      <c r="G104" s="130">
        <v>10000</v>
      </c>
      <c r="H104" s="130">
        <v>10000</v>
      </c>
      <c r="I104" s="130">
        <v>10000</v>
      </c>
      <c r="J104" s="130">
        <v>10000</v>
      </c>
      <c r="K104" s="130">
        <v>10000</v>
      </c>
      <c r="L104" s="130">
        <v>10000</v>
      </c>
      <c r="M104" s="130">
        <v>10000</v>
      </c>
      <c r="N104" s="130">
        <v>10000</v>
      </c>
      <c r="O104" s="105">
        <f t="shared" si="24"/>
        <v>170800.57</v>
      </c>
    </row>
    <row r="105" spans="1:15" ht="20.25" customHeight="1">
      <c r="A105" s="47" t="s">
        <v>132</v>
      </c>
      <c r="B105" s="103" t="s">
        <v>1009</v>
      </c>
      <c r="C105" s="130">
        <v>5073.4799999999996</v>
      </c>
      <c r="D105" s="130">
        <v>5554.96</v>
      </c>
      <c r="E105" s="130">
        <f t="shared" ref="E105:N105" si="25">D105</f>
        <v>5554.96</v>
      </c>
      <c r="F105" s="130">
        <f t="shared" si="25"/>
        <v>5554.96</v>
      </c>
      <c r="G105" s="130">
        <f t="shared" si="25"/>
        <v>5554.96</v>
      </c>
      <c r="H105" s="130">
        <f t="shared" si="25"/>
        <v>5554.96</v>
      </c>
      <c r="I105" s="130">
        <f t="shared" si="25"/>
        <v>5554.96</v>
      </c>
      <c r="J105" s="130">
        <f t="shared" si="25"/>
        <v>5554.96</v>
      </c>
      <c r="K105" s="130">
        <f t="shared" si="25"/>
        <v>5554.96</v>
      </c>
      <c r="L105" s="130">
        <f t="shared" si="25"/>
        <v>5554.96</v>
      </c>
      <c r="M105" s="130">
        <f t="shared" si="25"/>
        <v>5554.96</v>
      </c>
      <c r="N105" s="130">
        <f t="shared" si="25"/>
        <v>5554.96</v>
      </c>
      <c r="O105" s="105">
        <f t="shared" si="24"/>
        <v>66178.039999999994</v>
      </c>
    </row>
    <row r="106" spans="1:15" ht="20.25" customHeight="1">
      <c r="A106" s="47" t="s">
        <v>1010</v>
      </c>
      <c r="B106" s="104"/>
      <c r="C106" s="131">
        <v>0</v>
      </c>
      <c r="D106" s="131"/>
      <c r="E106" s="130">
        <v>0</v>
      </c>
      <c r="F106" s="130">
        <v>70200</v>
      </c>
      <c r="G106" s="130"/>
      <c r="H106" s="130"/>
      <c r="I106" s="130"/>
      <c r="J106" s="130"/>
      <c r="K106" s="130"/>
      <c r="L106" s="130"/>
      <c r="M106" s="130"/>
      <c r="N106" s="130"/>
      <c r="O106" s="105">
        <f t="shared" si="24"/>
        <v>70200</v>
      </c>
    </row>
    <row r="107" spans="1:15" ht="20.25" customHeight="1">
      <c r="A107" s="47" t="s">
        <v>135</v>
      </c>
      <c r="B107" s="94" t="s">
        <v>136</v>
      </c>
      <c r="C107" s="130">
        <v>8500</v>
      </c>
      <c r="D107" s="130">
        <f t="shared" ref="D107:N107" si="26">C107</f>
        <v>8500</v>
      </c>
      <c r="E107" s="130">
        <f t="shared" si="26"/>
        <v>8500</v>
      </c>
      <c r="F107" s="130">
        <f t="shared" si="26"/>
        <v>8500</v>
      </c>
      <c r="G107" s="130">
        <f t="shared" si="26"/>
        <v>8500</v>
      </c>
      <c r="H107" s="130">
        <f t="shared" si="26"/>
        <v>8500</v>
      </c>
      <c r="I107" s="130">
        <v>10000</v>
      </c>
      <c r="J107" s="130">
        <f t="shared" si="26"/>
        <v>10000</v>
      </c>
      <c r="K107" s="130">
        <f t="shared" si="26"/>
        <v>10000</v>
      </c>
      <c r="L107" s="130">
        <f t="shared" si="26"/>
        <v>10000</v>
      </c>
      <c r="M107" s="130">
        <f t="shared" si="26"/>
        <v>10000</v>
      </c>
      <c r="N107" s="130">
        <f t="shared" si="26"/>
        <v>10000</v>
      </c>
      <c r="O107" s="105">
        <f t="shared" si="24"/>
        <v>111000</v>
      </c>
    </row>
    <row r="108" spans="1:15" ht="20.25" customHeight="1">
      <c r="A108" s="47" t="s">
        <v>137</v>
      </c>
      <c r="B108" s="100" t="s">
        <v>138</v>
      </c>
      <c r="C108" s="130">
        <v>2821.41</v>
      </c>
      <c r="D108" s="130">
        <v>944</v>
      </c>
      <c r="E108" s="130">
        <v>3186</v>
      </c>
      <c r="F108" s="130">
        <v>22066</v>
      </c>
      <c r="G108" s="130">
        <v>13098</v>
      </c>
      <c r="H108" s="130">
        <v>0</v>
      </c>
      <c r="I108" s="130">
        <v>0</v>
      </c>
      <c r="J108" s="130">
        <v>0</v>
      </c>
      <c r="K108" s="130">
        <v>0</v>
      </c>
      <c r="L108" s="130">
        <v>0</v>
      </c>
      <c r="M108" s="130">
        <v>0</v>
      </c>
      <c r="N108" s="130">
        <v>0</v>
      </c>
      <c r="O108" s="105">
        <f t="shared" si="24"/>
        <v>42115.41</v>
      </c>
    </row>
    <row r="109" spans="1:15" ht="20.25" customHeight="1">
      <c r="A109" s="47" t="s">
        <v>1011</v>
      </c>
      <c r="B109" s="100" t="s">
        <v>140</v>
      </c>
      <c r="C109" s="130">
        <v>9000</v>
      </c>
      <c r="D109" s="130">
        <f t="shared" ref="D109:J109" si="27">C109</f>
        <v>9000</v>
      </c>
      <c r="E109" s="130">
        <f t="shared" si="27"/>
        <v>9000</v>
      </c>
      <c r="F109" s="130">
        <f t="shared" si="27"/>
        <v>9000</v>
      </c>
      <c r="G109" s="130">
        <f t="shared" si="27"/>
        <v>9000</v>
      </c>
      <c r="H109" s="130">
        <f t="shared" si="27"/>
        <v>9000</v>
      </c>
      <c r="I109" s="130">
        <f t="shared" si="27"/>
        <v>9000</v>
      </c>
      <c r="J109" s="130">
        <f t="shared" si="27"/>
        <v>9000</v>
      </c>
      <c r="K109" s="130">
        <v>9180</v>
      </c>
      <c r="L109" s="130">
        <f>K109</f>
        <v>9180</v>
      </c>
      <c r="M109" s="130">
        <f>L109</f>
        <v>9180</v>
      </c>
      <c r="N109" s="130">
        <f>M109</f>
        <v>9180</v>
      </c>
      <c r="O109" s="105">
        <f t="shared" si="24"/>
        <v>108720</v>
      </c>
    </row>
    <row r="110" spans="1:15" ht="20.25" customHeight="1">
      <c r="A110" s="47" t="s">
        <v>143</v>
      </c>
      <c r="B110" s="100" t="s">
        <v>67</v>
      </c>
      <c r="C110" s="130">
        <v>562.48</v>
      </c>
      <c r="D110" s="130">
        <v>562.48</v>
      </c>
      <c r="E110" s="130">
        <v>562.48</v>
      </c>
      <c r="F110" s="130">
        <v>562.48</v>
      </c>
      <c r="G110" s="130">
        <v>562.48</v>
      </c>
      <c r="H110" s="130">
        <v>562.48</v>
      </c>
      <c r="I110" s="130">
        <v>562.48</v>
      </c>
      <c r="J110" s="130">
        <v>562.48</v>
      </c>
      <c r="K110" s="130">
        <v>562.48</v>
      </c>
      <c r="L110" s="130">
        <v>562.48</v>
      </c>
      <c r="M110" s="130">
        <v>562.48</v>
      </c>
      <c r="N110" s="130">
        <v>562.48</v>
      </c>
      <c r="O110" s="105">
        <f t="shared" si="24"/>
        <v>6749.7599999999984</v>
      </c>
    </row>
    <row r="111" spans="1:15" ht="20.25" customHeight="1">
      <c r="A111" s="47" t="s">
        <v>144</v>
      </c>
      <c r="B111" s="100" t="s">
        <v>145</v>
      </c>
      <c r="C111" s="130">
        <v>23627.93</v>
      </c>
      <c r="D111" s="130">
        <v>28303.65</v>
      </c>
      <c r="E111" s="130">
        <v>24597.1</v>
      </c>
      <c r="F111" s="130">
        <v>24515</v>
      </c>
      <c r="G111" s="130">
        <v>24515</v>
      </c>
      <c r="H111" s="130">
        <v>24515</v>
      </c>
      <c r="I111" s="130">
        <v>24515</v>
      </c>
      <c r="J111" s="130">
        <v>24515</v>
      </c>
      <c r="K111" s="130">
        <v>24515</v>
      </c>
      <c r="L111" s="130">
        <v>24515</v>
      </c>
      <c r="M111" s="130">
        <v>24515</v>
      </c>
      <c r="N111" s="130">
        <v>24515</v>
      </c>
      <c r="O111" s="105">
        <f t="shared" si="24"/>
        <v>297163.68</v>
      </c>
    </row>
    <row r="112" spans="1:15" ht="20.25" customHeight="1">
      <c r="A112" s="47" t="s">
        <v>1012</v>
      </c>
      <c r="B112" s="100" t="s">
        <v>1013</v>
      </c>
      <c r="C112" s="130">
        <v>11148.06</v>
      </c>
      <c r="D112" s="130">
        <v>11115.69</v>
      </c>
      <c r="E112" s="130">
        <v>11115.69</v>
      </c>
      <c r="F112" s="130">
        <v>11115.69</v>
      </c>
      <c r="G112" s="130">
        <v>11115.69</v>
      </c>
      <c r="H112" s="130">
        <v>11115.69</v>
      </c>
      <c r="I112" s="130">
        <v>11115.69</v>
      </c>
      <c r="J112" s="130">
        <v>11115.69</v>
      </c>
      <c r="K112" s="130">
        <v>11115.69</v>
      </c>
      <c r="L112" s="130">
        <v>11115.69</v>
      </c>
      <c r="M112" s="130">
        <v>11115.69</v>
      </c>
      <c r="N112" s="130">
        <v>11115.69</v>
      </c>
      <c r="O112" s="105">
        <f t="shared" si="24"/>
        <v>133420.65000000002</v>
      </c>
    </row>
    <row r="113" spans="1:16" ht="20.25" customHeight="1">
      <c r="A113" s="47" t="s">
        <v>148</v>
      </c>
      <c r="B113" s="100" t="s">
        <v>149</v>
      </c>
      <c r="C113" s="130">
        <f t="shared" ref="C113:H113" si="28">1311.3</f>
        <v>1311.3</v>
      </c>
      <c r="D113" s="130">
        <f t="shared" si="28"/>
        <v>1311.3</v>
      </c>
      <c r="E113" s="130">
        <f t="shared" si="28"/>
        <v>1311.3</v>
      </c>
      <c r="F113" s="130">
        <f t="shared" si="28"/>
        <v>1311.3</v>
      </c>
      <c r="G113" s="130">
        <f t="shared" si="28"/>
        <v>1311.3</v>
      </c>
      <c r="H113" s="130">
        <f t="shared" si="28"/>
        <v>1311.3</v>
      </c>
      <c r="I113" s="130">
        <v>1337.53</v>
      </c>
      <c r="J113" s="130">
        <v>1337.53</v>
      </c>
      <c r="K113" s="130">
        <v>1337.53</v>
      </c>
      <c r="L113" s="130">
        <v>1337.53</v>
      </c>
      <c r="M113" s="130">
        <v>1337.53</v>
      </c>
      <c r="N113" s="130">
        <v>1337.53</v>
      </c>
      <c r="O113" s="105">
        <f t="shared" si="24"/>
        <v>15892.980000000003</v>
      </c>
    </row>
    <row r="114" spans="1:16" ht="20.25" customHeight="1">
      <c r="A114" s="47" t="s">
        <v>1014</v>
      </c>
      <c r="B114" s="100"/>
      <c r="C114" s="131">
        <v>0</v>
      </c>
      <c r="D114" s="131">
        <v>0</v>
      </c>
      <c r="E114" s="130">
        <v>15767.44</v>
      </c>
      <c r="F114" s="130">
        <v>15767.44</v>
      </c>
      <c r="G114" s="130">
        <v>15767.44</v>
      </c>
      <c r="H114" s="130">
        <v>15767.45</v>
      </c>
      <c r="I114" s="130"/>
      <c r="J114" s="130"/>
      <c r="K114" s="130"/>
      <c r="L114" s="130"/>
      <c r="M114" s="130"/>
      <c r="N114" s="130"/>
      <c r="O114" s="105">
        <f t="shared" si="24"/>
        <v>63069.770000000004</v>
      </c>
    </row>
    <row r="115" spans="1:16" ht="20.25" customHeight="1">
      <c r="A115" s="47" t="s">
        <v>1015</v>
      </c>
      <c r="B115" s="93" t="s">
        <v>987</v>
      </c>
      <c r="C115" s="132"/>
      <c r="D115" s="132"/>
      <c r="E115" s="130"/>
      <c r="F115" s="130"/>
      <c r="G115" s="130">
        <v>100000</v>
      </c>
      <c r="H115" s="130">
        <v>100000</v>
      </c>
      <c r="I115" s="130"/>
      <c r="J115" s="130"/>
      <c r="K115" s="130"/>
      <c r="L115" s="130"/>
      <c r="M115" s="130"/>
      <c r="N115" s="130"/>
      <c r="O115" s="105">
        <f t="shared" si="24"/>
        <v>200000</v>
      </c>
    </row>
    <row r="116" spans="1:16" ht="20.25" customHeight="1">
      <c r="A116" s="47" t="s">
        <v>1016</v>
      </c>
      <c r="B116" s="93" t="s">
        <v>987</v>
      </c>
      <c r="C116" s="132"/>
      <c r="D116" s="132"/>
      <c r="E116" s="130"/>
      <c r="F116" s="130"/>
      <c r="G116" s="130">
        <v>30000</v>
      </c>
      <c r="H116" s="130">
        <v>70000</v>
      </c>
      <c r="I116" s="130"/>
      <c r="J116" s="130"/>
      <c r="K116" s="130"/>
      <c r="L116" s="130"/>
      <c r="M116" s="130"/>
      <c r="N116" s="130"/>
      <c r="O116" s="105">
        <f t="shared" si="24"/>
        <v>100000</v>
      </c>
    </row>
    <row r="117" spans="1:16" ht="20.25" customHeight="1">
      <c r="A117" s="47" t="s">
        <v>1017</v>
      </c>
      <c r="B117" s="93" t="s">
        <v>987</v>
      </c>
      <c r="C117" s="132"/>
      <c r="D117" s="132"/>
      <c r="E117" s="130"/>
      <c r="F117" s="130">
        <v>30000</v>
      </c>
      <c r="G117" s="130">
        <v>30000</v>
      </c>
      <c r="H117" s="130"/>
      <c r="I117" s="130"/>
      <c r="J117" s="130"/>
      <c r="K117" s="130"/>
      <c r="L117" s="130"/>
      <c r="M117" s="130"/>
      <c r="N117" s="130"/>
      <c r="O117" s="105">
        <f t="shared" si="24"/>
        <v>60000</v>
      </c>
    </row>
    <row r="118" spans="1:16" ht="20.25" customHeight="1">
      <c r="A118" s="47" t="s">
        <v>1018</v>
      </c>
      <c r="B118" s="93" t="s">
        <v>987</v>
      </c>
      <c r="C118" s="132"/>
      <c r="D118" s="132"/>
      <c r="E118" s="130"/>
      <c r="F118" s="130"/>
      <c r="G118" s="130"/>
      <c r="H118" s="130"/>
      <c r="I118" s="130">
        <v>12000</v>
      </c>
      <c r="J118" s="130"/>
      <c r="K118" s="130"/>
      <c r="L118" s="130"/>
      <c r="M118" s="130"/>
      <c r="N118" s="130"/>
      <c r="O118" s="105">
        <f t="shared" si="24"/>
        <v>12000</v>
      </c>
    </row>
    <row r="119" spans="1:16" ht="20.25" customHeight="1">
      <c r="B119" s="100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43">
        <f t="shared" si="24"/>
        <v>0</v>
      </c>
    </row>
    <row r="120" spans="1:16" ht="20.25" customHeight="1">
      <c r="A120" s="64" t="s">
        <v>151</v>
      </c>
      <c r="B120" s="7"/>
      <c r="C120" s="106">
        <f t="shared" ref="C120:O120" si="29">SUM(C93:C119)</f>
        <v>186636.41999999998</v>
      </c>
      <c r="D120" s="106">
        <f t="shared" si="29"/>
        <v>178624.82</v>
      </c>
      <c r="E120" s="106">
        <f t="shared" si="29"/>
        <v>244802.80000000002</v>
      </c>
      <c r="F120" s="106">
        <f t="shared" si="29"/>
        <v>307769.05</v>
      </c>
      <c r="G120" s="106">
        <f t="shared" si="29"/>
        <v>358601.05000000005</v>
      </c>
      <c r="H120" s="106">
        <f t="shared" si="29"/>
        <v>355503.06000000006</v>
      </c>
      <c r="I120" s="106">
        <f t="shared" si="29"/>
        <v>204878.99000000002</v>
      </c>
      <c r="J120" s="106">
        <f t="shared" si="29"/>
        <v>192878.99000000002</v>
      </c>
      <c r="K120" s="106">
        <f t="shared" si="29"/>
        <v>193058.99000000002</v>
      </c>
      <c r="L120" s="106">
        <f t="shared" si="29"/>
        <v>193058.99000000002</v>
      </c>
      <c r="M120" s="106">
        <f t="shared" si="29"/>
        <v>193058.99000000002</v>
      </c>
      <c r="N120" s="106">
        <f t="shared" si="29"/>
        <v>193058.99000000002</v>
      </c>
      <c r="O120" s="106">
        <f t="shared" si="29"/>
        <v>2801931.14</v>
      </c>
      <c r="P120" s="14"/>
    </row>
    <row r="121" spans="1:16" ht="26.65" customHeight="1">
      <c r="A121" s="63" t="s">
        <v>152</v>
      </c>
      <c r="B121" s="63"/>
      <c r="C121" s="78" t="str">
        <f t="shared" ref="C121:N121" si="30">C92</f>
        <v>Janeiro</v>
      </c>
      <c r="D121" s="78" t="str">
        <f t="shared" si="30"/>
        <v>Fevereiro</v>
      </c>
      <c r="E121" s="78" t="str">
        <f t="shared" si="30"/>
        <v xml:space="preserve">Março </v>
      </c>
      <c r="F121" s="78" t="str">
        <f t="shared" si="30"/>
        <v>Abril</v>
      </c>
      <c r="G121" s="78" t="str">
        <f t="shared" si="30"/>
        <v>Maio</v>
      </c>
      <c r="H121" s="78" t="str">
        <f t="shared" si="30"/>
        <v>Junho</v>
      </c>
      <c r="I121" s="78" t="str">
        <f t="shared" si="30"/>
        <v>Julho</v>
      </c>
      <c r="J121" s="78" t="str">
        <f t="shared" si="30"/>
        <v>Agosto</v>
      </c>
      <c r="K121" s="78" t="str">
        <f t="shared" si="30"/>
        <v>Setembro</v>
      </c>
      <c r="L121" s="78" t="str">
        <f t="shared" si="30"/>
        <v>Outubro</v>
      </c>
      <c r="M121" s="78" t="str">
        <f t="shared" si="30"/>
        <v>Novembro</v>
      </c>
      <c r="N121" s="78" t="str">
        <f t="shared" si="30"/>
        <v>Dezembro</v>
      </c>
      <c r="O121" s="40" t="str">
        <f>O64</f>
        <v xml:space="preserve">TOTAL </v>
      </c>
    </row>
    <row r="122" spans="1:16" ht="20.25" hidden="1" customHeight="1">
      <c r="A122" s="47" t="s">
        <v>153</v>
      </c>
      <c r="B122" s="4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5">
        <f>SUM(C122+D122+E122+F122+G122+H122+I122+J122+K122+L122+M122+N122)</f>
        <v>0</v>
      </c>
    </row>
    <row r="123" spans="1:16" ht="20.25" hidden="1" customHeight="1">
      <c r="A123" s="47" t="s">
        <v>154</v>
      </c>
      <c r="B123" s="4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05">
        <f>SUM(C123+D123+E123+F123+G123+H123+I123+J123+K123+L123+M123+N123)</f>
        <v>0</v>
      </c>
    </row>
    <row r="124" spans="1:16" ht="20.25" hidden="1" customHeight="1">
      <c r="A124" s="47" t="s">
        <v>155</v>
      </c>
      <c r="B124" s="4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05">
        <f>SUM(C124+D124+E124+F124+G124+H124+I124+J124+K124+L124+M124+N124)</f>
        <v>0</v>
      </c>
    </row>
    <row r="125" spans="1:16" ht="20.25" customHeight="1">
      <c r="A125" s="47" t="s">
        <v>156</v>
      </c>
      <c r="B125" s="47"/>
      <c r="C125" s="130"/>
      <c r="D125" s="130"/>
      <c r="E125" s="130"/>
      <c r="F125" s="130"/>
      <c r="G125" s="130"/>
      <c r="H125" s="130"/>
      <c r="I125" s="130">
        <v>2000</v>
      </c>
      <c r="J125" s="130"/>
      <c r="K125" s="130"/>
      <c r="L125" s="130"/>
      <c r="M125" s="130"/>
      <c r="N125" s="130"/>
      <c r="O125" s="105">
        <f t="shared" ref="O125:O144" si="31">SUM(C125:N125)</f>
        <v>2000</v>
      </c>
    </row>
    <row r="126" spans="1:16" ht="20.25" customHeight="1">
      <c r="A126" s="47" t="s">
        <v>157</v>
      </c>
      <c r="B126" s="47"/>
      <c r="C126" s="130">
        <v>1946.87</v>
      </c>
      <c r="D126" s="130">
        <v>1398.67</v>
      </c>
      <c r="E126" s="130">
        <v>130.18</v>
      </c>
      <c r="F126" s="130">
        <v>1350</v>
      </c>
      <c r="G126" s="130">
        <v>1350</v>
      </c>
      <c r="H126" s="130">
        <v>1350</v>
      </c>
      <c r="I126" s="130">
        <v>1350</v>
      </c>
      <c r="J126" s="130">
        <v>1350</v>
      </c>
      <c r="K126" s="130">
        <v>1350</v>
      </c>
      <c r="L126" s="130">
        <v>1350</v>
      </c>
      <c r="M126" s="130">
        <v>1350</v>
      </c>
      <c r="N126" s="130">
        <v>1350</v>
      </c>
      <c r="O126" s="105">
        <f t="shared" si="31"/>
        <v>15625.72</v>
      </c>
    </row>
    <row r="127" spans="1:16" ht="20.25" customHeight="1">
      <c r="A127" s="47" t="s">
        <v>158</v>
      </c>
      <c r="B127" s="47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>
        <v>300</v>
      </c>
      <c r="N127" s="130"/>
      <c r="O127" s="105">
        <f t="shared" si="31"/>
        <v>300</v>
      </c>
    </row>
    <row r="128" spans="1:16" ht="20.25" customHeight="1">
      <c r="A128" s="47" t="s">
        <v>159</v>
      </c>
      <c r="B128" s="47"/>
      <c r="C128" s="130"/>
      <c r="D128" s="130"/>
      <c r="E128" s="130"/>
      <c r="F128" s="130"/>
      <c r="G128" s="130"/>
      <c r="H128" s="130"/>
      <c r="I128" s="130"/>
      <c r="J128" s="130">
        <v>7000</v>
      </c>
      <c r="K128" s="130"/>
      <c r="L128" s="130"/>
      <c r="M128" s="130"/>
      <c r="N128" s="130"/>
      <c r="O128" s="105">
        <f t="shared" si="31"/>
        <v>7000</v>
      </c>
    </row>
    <row r="129" spans="1:15" ht="20.25" customHeight="1">
      <c r="A129" s="47" t="s">
        <v>657</v>
      </c>
      <c r="B129" s="47"/>
      <c r="C129" s="130"/>
      <c r="D129" s="130"/>
      <c r="E129" s="130"/>
      <c r="F129" s="130">
        <v>300</v>
      </c>
      <c r="G129" s="130"/>
      <c r="H129" s="130"/>
      <c r="I129" s="130">
        <v>0</v>
      </c>
      <c r="J129" s="130"/>
      <c r="K129" s="130"/>
      <c r="L129" s="130"/>
      <c r="M129" s="130"/>
      <c r="N129" s="130"/>
      <c r="O129" s="105">
        <f t="shared" si="31"/>
        <v>300</v>
      </c>
    </row>
    <row r="130" spans="1:15" ht="20.25" customHeight="1">
      <c r="A130" s="47" t="s">
        <v>161</v>
      </c>
      <c r="B130" s="47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>
        <v>0</v>
      </c>
      <c r="O130" s="105">
        <f t="shared" si="31"/>
        <v>0</v>
      </c>
    </row>
    <row r="131" spans="1:15" ht="20.25" customHeight="1">
      <c r="A131" s="47" t="s">
        <v>162</v>
      </c>
      <c r="B131" s="47"/>
      <c r="C131" s="130">
        <v>56.1</v>
      </c>
      <c r="D131" s="130">
        <v>0</v>
      </c>
      <c r="E131" s="130">
        <v>0</v>
      </c>
      <c r="F131" s="130">
        <v>1330</v>
      </c>
      <c r="G131" s="130">
        <v>1330</v>
      </c>
      <c r="H131" s="130">
        <v>1330</v>
      </c>
      <c r="I131" s="130">
        <v>1330</v>
      </c>
      <c r="J131" s="130">
        <v>1330</v>
      </c>
      <c r="K131" s="130">
        <v>1330</v>
      </c>
      <c r="L131" s="130">
        <v>1330</v>
      </c>
      <c r="M131" s="130">
        <v>1330</v>
      </c>
      <c r="N131" s="130">
        <v>1330</v>
      </c>
      <c r="O131" s="105">
        <f t="shared" si="31"/>
        <v>12026.1</v>
      </c>
    </row>
    <row r="132" spans="1:15" ht="20.25" customHeight="1">
      <c r="A132" s="47" t="s">
        <v>163</v>
      </c>
      <c r="B132" s="47"/>
      <c r="C132" s="130"/>
      <c r="D132" s="130"/>
      <c r="E132" s="130"/>
      <c r="F132" s="130"/>
      <c r="G132" s="130">
        <v>2000</v>
      </c>
      <c r="H132" s="130"/>
      <c r="I132" s="130"/>
      <c r="J132" s="130"/>
      <c r="K132" s="130"/>
      <c r="L132" s="130"/>
      <c r="M132" s="130"/>
      <c r="N132" s="130"/>
      <c r="O132" s="105">
        <f t="shared" si="31"/>
        <v>2000</v>
      </c>
    </row>
    <row r="133" spans="1:15" ht="20.25" customHeight="1">
      <c r="A133" s="47" t="s">
        <v>164</v>
      </c>
      <c r="B133" s="47"/>
      <c r="C133" s="130"/>
      <c r="D133" s="130"/>
      <c r="E133" s="130"/>
      <c r="F133" s="130"/>
      <c r="G133" s="130"/>
      <c r="H133" s="130"/>
      <c r="I133" s="130"/>
      <c r="J133" s="130">
        <v>2000</v>
      </c>
      <c r="K133" s="130"/>
      <c r="L133" s="130"/>
      <c r="M133" s="130"/>
      <c r="N133" s="130"/>
      <c r="O133" s="105">
        <f t="shared" si="31"/>
        <v>2000</v>
      </c>
    </row>
    <row r="134" spans="1:15" ht="20.25" customHeight="1">
      <c r="A134" s="47" t="s">
        <v>165</v>
      </c>
      <c r="B134" s="47"/>
      <c r="C134" s="130"/>
      <c r="D134" s="130"/>
      <c r="E134" s="130">
        <v>158.03</v>
      </c>
      <c r="F134" s="130"/>
      <c r="G134" s="130"/>
      <c r="H134" s="130"/>
      <c r="I134" s="130"/>
      <c r="J134" s="130"/>
      <c r="K134" s="130"/>
      <c r="L134" s="130"/>
      <c r="M134" s="130"/>
      <c r="N134" s="130"/>
      <c r="O134" s="105">
        <f t="shared" si="31"/>
        <v>158.03</v>
      </c>
    </row>
    <row r="135" spans="1:15" ht="20.25" hidden="1" customHeight="1">
      <c r="A135" s="47" t="s">
        <v>166</v>
      </c>
      <c r="B135" s="47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05">
        <f t="shared" si="31"/>
        <v>0</v>
      </c>
    </row>
    <row r="136" spans="1:15" ht="20.25" hidden="1" customHeight="1">
      <c r="A136" s="47" t="s">
        <v>167</v>
      </c>
      <c r="B136" s="47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05">
        <f t="shared" si="31"/>
        <v>0</v>
      </c>
    </row>
    <row r="137" spans="1:15" ht="20.25" hidden="1" customHeight="1">
      <c r="A137" s="47" t="s">
        <v>168</v>
      </c>
      <c r="B137" s="47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05">
        <f t="shared" si="31"/>
        <v>0</v>
      </c>
    </row>
    <row r="138" spans="1:15" ht="20.25" customHeight="1">
      <c r="A138" s="47" t="s">
        <v>1019</v>
      </c>
      <c r="B138" s="47"/>
      <c r="C138" s="130"/>
      <c r="D138" s="130"/>
      <c r="E138" s="130"/>
      <c r="F138" s="130"/>
      <c r="G138" s="130"/>
      <c r="H138" s="130"/>
      <c r="I138" s="130">
        <v>500</v>
      </c>
      <c r="J138" s="130"/>
      <c r="K138" s="130"/>
      <c r="L138" s="130"/>
      <c r="M138" s="130"/>
      <c r="N138" s="130"/>
      <c r="O138" s="105">
        <f t="shared" si="31"/>
        <v>500</v>
      </c>
    </row>
    <row r="139" spans="1:15" ht="20.25" customHeight="1">
      <c r="A139" s="47" t="s">
        <v>169</v>
      </c>
      <c r="B139" s="47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>
        <v>0</v>
      </c>
      <c r="M139" s="130">
        <v>300</v>
      </c>
      <c r="N139" s="130"/>
      <c r="O139" s="105">
        <f t="shared" si="31"/>
        <v>300</v>
      </c>
    </row>
    <row r="140" spans="1:15" ht="20.25" customHeight="1">
      <c r="A140" s="65" t="s">
        <v>1020</v>
      </c>
      <c r="B140" s="65" t="s">
        <v>980</v>
      </c>
      <c r="C140" s="130"/>
      <c r="D140" s="130"/>
      <c r="E140" s="130"/>
      <c r="F140" s="130"/>
      <c r="G140" s="130"/>
      <c r="H140" s="130">
        <v>7000</v>
      </c>
      <c r="I140" s="130"/>
      <c r="J140" s="130"/>
      <c r="K140" s="130"/>
      <c r="L140" s="130"/>
      <c r="M140" s="130"/>
      <c r="N140" s="130"/>
      <c r="O140" s="105">
        <f t="shared" si="31"/>
        <v>7000</v>
      </c>
    </row>
    <row r="141" spans="1:15" ht="20.25" customHeight="1">
      <c r="A141" s="47" t="s">
        <v>1021</v>
      </c>
      <c r="B141" s="47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>
        <v>500</v>
      </c>
      <c r="O141" s="105">
        <f t="shared" si="31"/>
        <v>500</v>
      </c>
    </row>
    <row r="142" spans="1:15" ht="20.25" customHeight="1">
      <c r="A142" s="47" t="s">
        <v>171</v>
      </c>
      <c r="B142" s="47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>
        <v>300</v>
      </c>
      <c r="M142" s="130"/>
      <c r="N142" s="130"/>
      <c r="O142" s="105">
        <f t="shared" si="31"/>
        <v>300</v>
      </c>
    </row>
    <row r="143" spans="1:15" ht="20.25" customHeight="1">
      <c r="A143" s="47" t="s">
        <v>1022</v>
      </c>
      <c r="B143" s="47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>
        <v>0</v>
      </c>
      <c r="O143" s="105">
        <f t="shared" si="31"/>
        <v>0</v>
      </c>
    </row>
    <row r="144" spans="1:15" ht="20.25" customHeight="1">
      <c r="A144" s="47" t="s">
        <v>173</v>
      </c>
      <c r="B144" s="47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>
        <v>8000</v>
      </c>
      <c r="N144" s="130"/>
      <c r="O144" s="105">
        <f t="shared" si="31"/>
        <v>8000</v>
      </c>
    </row>
    <row r="145" spans="1:16" ht="20.25" hidden="1" customHeight="1">
      <c r="A145" s="47" t="s">
        <v>174</v>
      </c>
      <c r="B145" s="47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05">
        <f>SUM(C145+D145+E145+F145+G145+H145+I145+J145+K145+L145+M145+N145)</f>
        <v>0</v>
      </c>
    </row>
    <row r="146" spans="1:16" ht="20.25" hidden="1" customHeight="1">
      <c r="A146" s="47" t="s">
        <v>175</v>
      </c>
      <c r="B146" s="47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05">
        <f>SUM(C146+D146+E146+F146+G146+H146+I146+J146+K146+L146+M146+N146)</f>
        <v>0</v>
      </c>
    </row>
    <row r="147" spans="1:16" ht="20.25" hidden="1" customHeight="1">
      <c r="A147" s="47" t="s">
        <v>176</v>
      </c>
      <c r="B147" s="47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05">
        <f>SUM(C147+D147+E147+F147+G147+H147+I147+J147+K147+L147+M147+N147)</f>
        <v>0</v>
      </c>
    </row>
    <row r="148" spans="1:16" ht="20.25" customHeight="1">
      <c r="A148" s="64" t="s">
        <v>177</v>
      </c>
      <c r="B148" s="64"/>
      <c r="C148" s="106">
        <f t="shared" ref="C148:O148" si="32">SUM(C122:C147)</f>
        <v>2002.9699999999998</v>
      </c>
      <c r="D148" s="106">
        <f t="shared" si="32"/>
        <v>1398.67</v>
      </c>
      <c r="E148" s="106">
        <f t="shared" si="32"/>
        <v>288.21000000000004</v>
      </c>
      <c r="F148" s="106">
        <f t="shared" si="32"/>
        <v>2980</v>
      </c>
      <c r="G148" s="106">
        <f t="shared" si="32"/>
        <v>4680</v>
      </c>
      <c r="H148" s="106">
        <f t="shared" si="32"/>
        <v>9680</v>
      </c>
      <c r="I148" s="106">
        <f t="shared" si="32"/>
        <v>5180</v>
      </c>
      <c r="J148" s="106">
        <f t="shared" si="32"/>
        <v>11680</v>
      </c>
      <c r="K148" s="106">
        <f t="shared" si="32"/>
        <v>2680</v>
      </c>
      <c r="L148" s="106">
        <f t="shared" si="32"/>
        <v>2980</v>
      </c>
      <c r="M148" s="106">
        <f t="shared" si="32"/>
        <v>11280</v>
      </c>
      <c r="N148" s="106">
        <f t="shared" si="32"/>
        <v>3180</v>
      </c>
      <c r="O148" s="106">
        <f t="shared" si="32"/>
        <v>58009.85</v>
      </c>
      <c r="P148" s="14"/>
    </row>
    <row r="149" spans="1:16" ht="25.5" customHeight="1">
      <c r="A149" s="63" t="s">
        <v>178</v>
      </c>
      <c r="B149" s="46"/>
      <c r="C149" s="78" t="str">
        <f t="shared" ref="C149:O149" si="33">C121</f>
        <v>Janeiro</v>
      </c>
      <c r="D149" s="78" t="str">
        <f t="shared" si="33"/>
        <v>Fevereiro</v>
      </c>
      <c r="E149" s="78" t="str">
        <f t="shared" si="33"/>
        <v xml:space="preserve">Março </v>
      </c>
      <c r="F149" s="78" t="str">
        <f t="shared" si="33"/>
        <v>Abril</v>
      </c>
      <c r="G149" s="78" t="str">
        <f t="shared" si="33"/>
        <v>Maio</v>
      </c>
      <c r="H149" s="78" t="str">
        <f t="shared" si="33"/>
        <v>Junho</v>
      </c>
      <c r="I149" s="78" t="str">
        <f t="shared" si="33"/>
        <v>Julho</v>
      </c>
      <c r="J149" s="78" t="str">
        <f t="shared" si="33"/>
        <v>Agosto</v>
      </c>
      <c r="K149" s="78" t="str">
        <f t="shared" si="33"/>
        <v>Setembro</v>
      </c>
      <c r="L149" s="78" t="str">
        <f t="shared" si="33"/>
        <v>Outubro</v>
      </c>
      <c r="M149" s="78" t="str">
        <f t="shared" si="33"/>
        <v>Novembro</v>
      </c>
      <c r="N149" s="78" t="str">
        <f t="shared" si="33"/>
        <v>Dezembro</v>
      </c>
      <c r="O149" s="42" t="str">
        <f t="shared" si="33"/>
        <v xml:space="preserve">TOTAL </v>
      </c>
    </row>
    <row r="150" spans="1:16" ht="21" customHeight="1">
      <c r="A150" s="107" t="s">
        <v>1023</v>
      </c>
      <c r="B150" s="101" t="s">
        <v>1024</v>
      </c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43">
        <f t="shared" ref="O150:O158" si="34">SUM(C150:N150)</f>
        <v>0</v>
      </c>
    </row>
    <row r="151" spans="1:16" ht="21" customHeight="1">
      <c r="A151" s="47" t="s">
        <v>1025</v>
      </c>
      <c r="B151" s="47"/>
      <c r="C151" s="130"/>
      <c r="D151" s="130">
        <v>0</v>
      </c>
      <c r="E151" s="130">
        <v>1168.3499999999999</v>
      </c>
      <c r="F151" s="130"/>
      <c r="G151" s="130"/>
      <c r="H151" s="130"/>
      <c r="I151" s="130"/>
      <c r="J151" s="130"/>
      <c r="K151" s="130"/>
      <c r="L151" s="130"/>
      <c r="M151" s="130"/>
      <c r="N151" s="130"/>
      <c r="O151" s="105">
        <f t="shared" si="34"/>
        <v>1168.3499999999999</v>
      </c>
    </row>
    <row r="152" spans="1:16" ht="21" customHeight="1">
      <c r="A152" s="47" t="s">
        <v>1026</v>
      </c>
      <c r="B152" s="47"/>
      <c r="C152" s="130"/>
      <c r="D152" s="130"/>
      <c r="E152" s="130"/>
      <c r="F152" s="130"/>
      <c r="G152" s="130">
        <v>4000</v>
      </c>
      <c r="H152" s="130"/>
      <c r="I152" s="130"/>
      <c r="J152" s="130"/>
      <c r="K152" s="130"/>
      <c r="L152" s="130">
        <v>4000</v>
      </c>
      <c r="M152" s="130"/>
      <c r="N152" s="130"/>
      <c r="O152" s="105">
        <f t="shared" si="34"/>
        <v>8000</v>
      </c>
    </row>
    <row r="153" spans="1:16" ht="21" customHeight="1">
      <c r="A153" s="47" t="s">
        <v>1027</v>
      </c>
      <c r="B153" s="47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>
        <v>9000</v>
      </c>
      <c r="N153" s="130"/>
      <c r="O153" s="105">
        <f t="shared" si="34"/>
        <v>9000</v>
      </c>
    </row>
    <row r="154" spans="1:16" ht="21" customHeight="1">
      <c r="A154" s="47" t="s">
        <v>1028</v>
      </c>
      <c r="B154" s="47"/>
      <c r="C154" s="130"/>
      <c r="D154" s="130"/>
      <c r="E154" s="130"/>
      <c r="F154" s="130"/>
      <c r="G154" s="130"/>
      <c r="H154" s="130"/>
      <c r="I154" s="130"/>
      <c r="J154" s="130">
        <v>20000</v>
      </c>
      <c r="K154" s="130"/>
      <c r="L154" s="130"/>
      <c r="M154" s="130"/>
      <c r="N154" s="130"/>
      <c r="O154" s="105">
        <f t="shared" si="34"/>
        <v>20000</v>
      </c>
    </row>
    <row r="155" spans="1:16" ht="21" customHeight="1">
      <c r="A155" s="107" t="s">
        <v>1029</v>
      </c>
      <c r="B155" s="47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05">
        <f t="shared" si="34"/>
        <v>0</v>
      </c>
    </row>
    <row r="156" spans="1:16" ht="21" customHeight="1">
      <c r="A156" s="47" t="s">
        <v>1030</v>
      </c>
      <c r="B156" s="47"/>
      <c r="C156" s="130"/>
      <c r="D156" s="130"/>
      <c r="E156" s="130">
        <v>0</v>
      </c>
      <c r="F156" s="130">
        <v>30000</v>
      </c>
      <c r="G156" s="130"/>
      <c r="H156" s="130"/>
      <c r="I156" s="130"/>
      <c r="J156" s="130"/>
      <c r="K156" s="130"/>
      <c r="L156" s="130"/>
      <c r="M156" s="130"/>
      <c r="N156" s="130"/>
      <c r="O156" s="105">
        <f t="shared" si="34"/>
        <v>30000</v>
      </c>
    </row>
    <row r="157" spans="1:16" ht="21" customHeight="1">
      <c r="A157" s="47" t="s">
        <v>1031</v>
      </c>
      <c r="B157" s="47"/>
      <c r="C157" s="130"/>
      <c r="D157" s="130"/>
      <c r="E157" s="130">
        <v>0</v>
      </c>
      <c r="F157" s="130">
        <v>0</v>
      </c>
      <c r="G157" s="130">
        <v>0</v>
      </c>
      <c r="H157" s="130">
        <v>0</v>
      </c>
      <c r="I157" s="130">
        <v>0</v>
      </c>
      <c r="J157" s="130"/>
      <c r="K157" s="130"/>
      <c r="L157" s="130"/>
      <c r="M157" s="130"/>
      <c r="N157" s="130"/>
      <c r="O157" s="105">
        <f t="shared" si="34"/>
        <v>0</v>
      </c>
    </row>
    <row r="158" spans="1:16" ht="21" customHeight="1">
      <c r="B158" s="47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05">
        <f t="shared" si="34"/>
        <v>0</v>
      </c>
    </row>
    <row r="159" spans="1:16" ht="20.25" customHeight="1">
      <c r="A159" s="64" t="s">
        <v>179</v>
      </c>
      <c r="B159" s="64"/>
      <c r="C159" s="106">
        <f t="shared" ref="C159:O159" si="35">SUM(C150:C158)</f>
        <v>0</v>
      </c>
      <c r="D159" s="106">
        <f t="shared" si="35"/>
        <v>0</v>
      </c>
      <c r="E159" s="106">
        <f t="shared" si="35"/>
        <v>1168.3499999999999</v>
      </c>
      <c r="F159" s="106">
        <f t="shared" si="35"/>
        <v>30000</v>
      </c>
      <c r="G159" s="106">
        <f t="shared" si="35"/>
        <v>4000</v>
      </c>
      <c r="H159" s="106">
        <f t="shared" si="35"/>
        <v>0</v>
      </c>
      <c r="I159" s="106">
        <f t="shared" si="35"/>
        <v>0</v>
      </c>
      <c r="J159" s="106">
        <f t="shared" si="35"/>
        <v>20000</v>
      </c>
      <c r="K159" s="106">
        <f t="shared" si="35"/>
        <v>0</v>
      </c>
      <c r="L159" s="106">
        <f t="shared" si="35"/>
        <v>4000</v>
      </c>
      <c r="M159" s="106">
        <f t="shared" si="35"/>
        <v>9000</v>
      </c>
      <c r="N159" s="106">
        <f t="shared" si="35"/>
        <v>0</v>
      </c>
      <c r="O159" s="106">
        <f t="shared" si="35"/>
        <v>68168.350000000006</v>
      </c>
      <c r="P159" s="14"/>
    </row>
    <row r="160" spans="1:16" ht="27.75" customHeight="1">
      <c r="A160" s="58" t="s">
        <v>180</v>
      </c>
      <c r="B160" s="46"/>
      <c r="C160" s="78" t="str">
        <f t="shared" ref="C160:O160" si="36">C149</f>
        <v>Janeiro</v>
      </c>
      <c r="D160" s="78" t="str">
        <f t="shared" si="36"/>
        <v>Fevereiro</v>
      </c>
      <c r="E160" s="78" t="str">
        <f t="shared" si="36"/>
        <v xml:space="preserve">Março </v>
      </c>
      <c r="F160" s="78" t="str">
        <f t="shared" si="36"/>
        <v>Abril</v>
      </c>
      <c r="G160" s="78" t="str">
        <f t="shared" si="36"/>
        <v>Maio</v>
      </c>
      <c r="H160" s="78" t="str">
        <f t="shared" si="36"/>
        <v>Junho</v>
      </c>
      <c r="I160" s="78" t="str">
        <f t="shared" si="36"/>
        <v>Julho</v>
      </c>
      <c r="J160" s="78" t="str">
        <f t="shared" si="36"/>
        <v>Agosto</v>
      </c>
      <c r="K160" s="78" t="str">
        <f t="shared" si="36"/>
        <v>Setembro</v>
      </c>
      <c r="L160" s="78" t="str">
        <f t="shared" si="36"/>
        <v>Outubro</v>
      </c>
      <c r="M160" s="78" t="str">
        <f t="shared" si="36"/>
        <v>Novembro</v>
      </c>
      <c r="N160" s="78" t="str">
        <f t="shared" si="36"/>
        <v>Dezembro</v>
      </c>
      <c r="O160" s="42" t="str">
        <f t="shared" si="36"/>
        <v xml:space="preserve">TOTAL </v>
      </c>
    </row>
    <row r="161" spans="1:16" ht="27.75" customHeight="1">
      <c r="A161" s="58" t="s">
        <v>1032</v>
      </c>
      <c r="B161" s="51"/>
      <c r="C161" s="35"/>
      <c r="D161" s="35"/>
      <c r="E161" s="35"/>
      <c r="F161" s="35"/>
      <c r="G161" s="83"/>
      <c r="H161" s="89"/>
      <c r="I161" s="89">
        <v>234622.96</v>
      </c>
      <c r="J161" s="89">
        <v>234622.96</v>
      </c>
      <c r="K161" s="89">
        <v>234622.96</v>
      </c>
      <c r="L161" s="89">
        <v>234622.96</v>
      </c>
      <c r="M161" s="89">
        <v>234622.96</v>
      </c>
      <c r="N161" s="89">
        <v>234622.96</v>
      </c>
      <c r="O161" s="105">
        <f>SUM(C161:N161)</f>
        <v>1407737.76</v>
      </c>
    </row>
    <row r="162" spans="1:16" ht="27.75" customHeight="1">
      <c r="A162" s="58" t="s">
        <v>182</v>
      </c>
      <c r="B162" s="51"/>
      <c r="C162" s="89">
        <v>0</v>
      </c>
      <c r="D162" s="89">
        <v>0</v>
      </c>
      <c r="E162" s="90">
        <v>214739.25</v>
      </c>
      <c r="F162" s="90">
        <v>214739.25</v>
      </c>
      <c r="G162" s="90">
        <v>214739.25</v>
      </c>
      <c r="H162" s="90">
        <v>214739.25</v>
      </c>
      <c r="I162" s="90">
        <v>214739.25</v>
      </c>
      <c r="J162" s="90">
        <v>214739.25</v>
      </c>
      <c r="K162" s="90">
        <v>214739.25</v>
      </c>
      <c r="L162" s="90">
        <v>214739.25</v>
      </c>
      <c r="M162" s="90">
        <v>214739.25</v>
      </c>
      <c r="N162" s="90">
        <v>214739.25</v>
      </c>
      <c r="O162" s="105">
        <f>SUM(C162:N162)</f>
        <v>2147392.5</v>
      </c>
    </row>
    <row r="163" spans="1:16" ht="27.75" customHeight="1">
      <c r="A163" s="58" t="s">
        <v>1033</v>
      </c>
      <c r="B163" s="51"/>
      <c r="C163" s="89">
        <v>0</v>
      </c>
      <c r="D163" s="89">
        <v>0</v>
      </c>
      <c r="E163" s="89">
        <v>139319.45000000001</v>
      </c>
      <c r="F163" s="89">
        <v>139319.45000000001</v>
      </c>
      <c r="G163" s="89">
        <v>139319.45000000001</v>
      </c>
      <c r="H163" s="89">
        <v>139319.45000000001</v>
      </c>
      <c r="I163" s="89">
        <v>139319.45000000001</v>
      </c>
      <c r="J163" s="89">
        <v>139319.45000000001</v>
      </c>
      <c r="K163" s="89">
        <v>139319.45000000001</v>
      </c>
      <c r="L163" s="89">
        <v>139319.45000000001</v>
      </c>
      <c r="M163" s="89">
        <v>139319.45000000001</v>
      </c>
      <c r="N163" s="89">
        <v>139319.45000000001</v>
      </c>
      <c r="O163" s="105">
        <f>SUM(C163:N163)</f>
        <v>1393194.4999999998</v>
      </c>
    </row>
    <row r="164" spans="1:16" ht="27.75" customHeight="1">
      <c r="A164" s="58" t="s">
        <v>1034</v>
      </c>
      <c r="B164" s="51"/>
      <c r="C164" s="89">
        <v>27612.05</v>
      </c>
      <c r="D164" s="35"/>
      <c r="E164" s="35"/>
      <c r="F164" s="35"/>
      <c r="G164" s="35"/>
      <c r="H164" s="35"/>
      <c r="I164" s="89">
        <v>0</v>
      </c>
      <c r="J164" s="35"/>
      <c r="K164" s="35"/>
      <c r="L164" s="35"/>
      <c r="M164" s="35"/>
      <c r="N164" s="35"/>
      <c r="O164" s="105">
        <f>SUM(C164:N164)</f>
        <v>27612.05</v>
      </c>
    </row>
    <row r="165" spans="1:16" ht="24.75" customHeight="1">
      <c r="A165" s="127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05">
        <f>SUM(C165+D165+E165+F165+G165+H165+I165+J165+K165+L165+M165+N165)</f>
        <v>0</v>
      </c>
    </row>
    <row r="166" spans="1:16" ht="20.25" customHeight="1">
      <c r="A166" s="64" t="s">
        <v>183</v>
      </c>
      <c r="B166" s="7"/>
      <c r="C166" s="8">
        <f t="shared" ref="C166:O166" si="37">SUM(C161:C165)</f>
        <v>27612.05</v>
      </c>
      <c r="D166" s="8">
        <f t="shared" si="37"/>
        <v>0</v>
      </c>
      <c r="E166" s="8">
        <f t="shared" si="37"/>
        <v>354058.7</v>
      </c>
      <c r="F166" s="8">
        <f t="shared" si="37"/>
        <v>354058.7</v>
      </c>
      <c r="G166" s="8">
        <f t="shared" si="37"/>
        <v>354058.7</v>
      </c>
      <c r="H166" s="8">
        <f t="shared" si="37"/>
        <v>354058.7</v>
      </c>
      <c r="I166" s="8">
        <f t="shared" si="37"/>
        <v>588681.65999999992</v>
      </c>
      <c r="J166" s="8">
        <f t="shared" si="37"/>
        <v>588681.65999999992</v>
      </c>
      <c r="K166" s="8">
        <f t="shared" si="37"/>
        <v>588681.65999999992</v>
      </c>
      <c r="L166" s="8">
        <f t="shared" si="37"/>
        <v>588681.65999999992</v>
      </c>
      <c r="M166" s="8">
        <f t="shared" si="37"/>
        <v>588681.65999999992</v>
      </c>
      <c r="N166" s="8">
        <f t="shared" si="37"/>
        <v>588681.65999999992</v>
      </c>
      <c r="O166" s="8">
        <f t="shared" si="37"/>
        <v>4975936.8099999996</v>
      </c>
      <c r="P166" s="14"/>
    </row>
    <row r="167" spans="1:16" ht="27" customHeight="1">
      <c r="A167" s="66" t="s">
        <v>184</v>
      </c>
      <c r="B167" s="50"/>
      <c r="C167" s="78" t="str">
        <f t="shared" ref="C167:O167" si="38">C160</f>
        <v>Janeiro</v>
      </c>
      <c r="D167" s="78" t="str">
        <f t="shared" si="38"/>
        <v>Fevereiro</v>
      </c>
      <c r="E167" s="78" t="str">
        <f t="shared" si="38"/>
        <v xml:space="preserve">Março </v>
      </c>
      <c r="F167" s="78" t="str">
        <f t="shared" si="38"/>
        <v>Abril</v>
      </c>
      <c r="G167" s="78" t="str">
        <f t="shared" si="38"/>
        <v>Maio</v>
      </c>
      <c r="H167" s="78" t="str">
        <f t="shared" si="38"/>
        <v>Junho</v>
      </c>
      <c r="I167" s="78" t="str">
        <f t="shared" si="38"/>
        <v>Julho</v>
      </c>
      <c r="J167" s="78" t="str">
        <f t="shared" si="38"/>
        <v>Agosto</v>
      </c>
      <c r="K167" s="78" t="str">
        <f t="shared" si="38"/>
        <v>Setembro</v>
      </c>
      <c r="L167" s="78" t="str">
        <f t="shared" si="38"/>
        <v>Outubro</v>
      </c>
      <c r="M167" s="78" t="str">
        <f t="shared" si="38"/>
        <v>Novembro</v>
      </c>
      <c r="N167" s="78" t="str">
        <f t="shared" si="38"/>
        <v>Dezembro</v>
      </c>
      <c r="O167" s="40" t="str">
        <f t="shared" si="38"/>
        <v xml:space="preserve">TOTAL </v>
      </c>
    </row>
    <row r="168" spans="1:16" ht="20.25" customHeight="1">
      <c r="A168" s="47" t="s">
        <v>185</v>
      </c>
      <c r="C168" s="130"/>
      <c r="D168" s="130">
        <v>7222.82</v>
      </c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05">
        <f t="shared" ref="O168:O186" si="39">SUM(C168:N168)</f>
        <v>7222.82</v>
      </c>
    </row>
    <row r="169" spans="1:16" ht="20.25" customHeight="1">
      <c r="A169" s="47" t="s">
        <v>1035</v>
      </c>
      <c r="C169" s="130">
        <v>80315.95</v>
      </c>
      <c r="D169" s="130">
        <v>79132.73</v>
      </c>
      <c r="E169" s="130">
        <v>83801.78</v>
      </c>
      <c r="F169" s="130">
        <f t="shared" ref="F169:N169" si="40">2800000*3%</f>
        <v>84000</v>
      </c>
      <c r="G169" s="130">
        <f t="shared" si="40"/>
        <v>84000</v>
      </c>
      <c r="H169" s="130">
        <f t="shared" si="40"/>
        <v>84000</v>
      </c>
      <c r="I169" s="130">
        <f t="shared" si="40"/>
        <v>84000</v>
      </c>
      <c r="J169" s="130">
        <f t="shared" si="40"/>
        <v>84000</v>
      </c>
      <c r="K169" s="130">
        <f t="shared" si="40"/>
        <v>84000</v>
      </c>
      <c r="L169" s="130">
        <f t="shared" si="40"/>
        <v>84000</v>
      </c>
      <c r="M169" s="130">
        <f t="shared" si="40"/>
        <v>84000</v>
      </c>
      <c r="N169" s="130">
        <f t="shared" si="40"/>
        <v>84000</v>
      </c>
      <c r="O169" s="105">
        <f t="shared" si="39"/>
        <v>999250.46</v>
      </c>
    </row>
    <row r="170" spans="1:16" ht="20.25" customHeight="1">
      <c r="A170" s="47" t="s">
        <v>1036</v>
      </c>
      <c r="C170" s="130">
        <v>307392.90999999997</v>
      </c>
      <c r="D170" s="130">
        <v>357637.28</v>
      </c>
      <c r="E170" s="130">
        <v>337987.84000000003</v>
      </c>
      <c r="F170" s="130" t="e">
        <f>(((#REF!)-2500000)*7.6%)-45000</f>
        <v>#REF!</v>
      </c>
      <c r="G170" s="130" t="e">
        <f>(((#REF!)-2500000)*7.6%)-43000</f>
        <v>#REF!</v>
      </c>
      <c r="H170" s="130" t="e">
        <f>(((#REF!)-2500000)*7.6%)-45000</f>
        <v>#REF!</v>
      </c>
      <c r="I170" s="130" t="e">
        <f>(((#REF!)-2500000)*7.6%)-45000</f>
        <v>#REF!</v>
      </c>
      <c r="J170" s="130" t="e">
        <f>(((#REF!)-2500000)*7.6%)-45000</f>
        <v>#REF!</v>
      </c>
      <c r="K170" s="130" t="e">
        <f>(((#REF!)-2500000)*7.6%)-45000</f>
        <v>#REF!</v>
      </c>
      <c r="L170" s="130" t="e">
        <f>(((#REF!)-2500000)*7.6%)-45000</f>
        <v>#REF!</v>
      </c>
      <c r="M170" s="130" t="e">
        <f>(((#REF!)-2500000)*7.6%)-45000</f>
        <v>#REF!</v>
      </c>
      <c r="N170" s="130" t="e">
        <f>(((#REF!)-2500000)*7.6%)-43000</f>
        <v>#REF!</v>
      </c>
      <c r="O170" s="105" t="e">
        <f t="shared" si="39"/>
        <v>#REF!</v>
      </c>
    </row>
    <row r="171" spans="1:16" ht="20.25" customHeight="1">
      <c r="A171" s="47" t="s">
        <v>187</v>
      </c>
      <c r="C171" s="130">
        <v>46054.13</v>
      </c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05">
        <f t="shared" si="39"/>
        <v>46054.13</v>
      </c>
    </row>
    <row r="172" spans="1:16" ht="20.25" customHeight="1">
      <c r="A172" s="47" t="s">
        <v>188</v>
      </c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05">
        <f t="shared" si="39"/>
        <v>0</v>
      </c>
    </row>
    <row r="173" spans="1:16" ht="20.25" customHeight="1">
      <c r="A173" s="47" t="s">
        <v>1037</v>
      </c>
      <c r="C173" s="130"/>
      <c r="D173" s="130"/>
      <c r="E173" s="130">
        <v>15</v>
      </c>
      <c r="F173" s="130"/>
      <c r="G173" s="130"/>
      <c r="H173" s="130"/>
      <c r="I173" s="130"/>
      <c r="J173" s="130"/>
      <c r="K173" s="130"/>
      <c r="L173" s="130"/>
      <c r="M173" s="130"/>
      <c r="N173" s="130"/>
      <c r="O173" s="105">
        <f t="shared" si="39"/>
        <v>15</v>
      </c>
    </row>
    <row r="174" spans="1:16" ht="20.25" customHeight="1">
      <c r="A174" s="47" t="s">
        <v>189</v>
      </c>
      <c r="C174" s="130">
        <v>710.02</v>
      </c>
      <c r="D174" s="130">
        <v>449.98</v>
      </c>
      <c r="E174" s="130">
        <v>683.15</v>
      </c>
      <c r="F174" s="130">
        <v>1500</v>
      </c>
      <c r="G174" s="130">
        <v>1500</v>
      </c>
      <c r="H174" s="130">
        <v>1500</v>
      </c>
      <c r="I174" s="130">
        <v>1500</v>
      </c>
      <c r="J174" s="130">
        <v>1500</v>
      </c>
      <c r="K174" s="130">
        <v>1500</v>
      </c>
      <c r="L174" s="130">
        <v>1500</v>
      </c>
      <c r="M174" s="130">
        <v>1500</v>
      </c>
      <c r="N174" s="130">
        <v>1500</v>
      </c>
      <c r="O174" s="105">
        <f t="shared" si="39"/>
        <v>15343.15</v>
      </c>
    </row>
    <row r="175" spans="1:16" ht="20.25" customHeight="1">
      <c r="A175" s="47" t="s">
        <v>729</v>
      </c>
      <c r="C175" s="130"/>
      <c r="D175" s="130"/>
      <c r="E175" s="130">
        <v>90</v>
      </c>
      <c r="F175" s="130"/>
      <c r="G175" s="130"/>
      <c r="H175" s="130"/>
      <c r="I175" s="130"/>
      <c r="J175" s="130"/>
      <c r="K175" s="130"/>
      <c r="L175" s="130"/>
      <c r="M175" s="130"/>
      <c r="N175" s="130"/>
      <c r="O175" s="105">
        <f t="shared" si="39"/>
        <v>90</v>
      </c>
    </row>
    <row r="176" spans="1:16" ht="20.25" customHeight="1">
      <c r="A176" s="47" t="s">
        <v>731</v>
      </c>
      <c r="C176" s="130">
        <v>0</v>
      </c>
      <c r="D176" s="130">
        <v>15610.08</v>
      </c>
      <c r="E176" s="130">
        <v>19540.32</v>
      </c>
      <c r="F176" s="130">
        <v>13500</v>
      </c>
      <c r="G176" s="130">
        <v>13500</v>
      </c>
      <c r="H176" s="130">
        <v>13500</v>
      </c>
      <c r="I176" s="130">
        <v>13500</v>
      </c>
      <c r="J176" s="130">
        <v>13500</v>
      </c>
      <c r="K176" s="130">
        <v>13500</v>
      </c>
      <c r="L176" s="130">
        <v>13500</v>
      </c>
      <c r="M176" s="130">
        <v>13500</v>
      </c>
      <c r="N176" s="130">
        <v>13500</v>
      </c>
      <c r="O176" s="105">
        <f t="shared" si="39"/>
        <v>156650.4</v>
      </c>
    </row>
    <row r="177" spans="1:16" ht="20.25" customHeight="1">
      <c r="A177" s="47" t="s">
        <v>191</v>
      </c>
      <c r="C177" s="130">
        <v>3103.05</v>
      </c>
      <c r="D177" s="130">
        <v>4096.01</v>
      </c>
      <c r="E177" s="130">
        <v>3657.16</v>
      </c>
      <c r="F177" s="130">
        <v>4000</v>
      </c>
      <c r="G177" s="130">
        <v>4000</v>
      </c>
      <c r="H177" s="130">
        <v>4000</v>
      </c>
      <c r="I177" s="130">
        <v>4000</v>
      </c>
      <c r="J177" s="130">
        <v>4000</v>
      </c>
      <c r="K177" s="130">
        <v>4000</v>
      </c>
      <c r="L177" s="130">
        <v>4000</v>
      </c>
      <c r="M177" s="130">
        <v>4000</v>
      </c>
      <c r="N177" s="130">
        <v>4000</v>
      </c>
      <c r="O177" s="105">
        <f t="shared" si="39"/>
        <v>46856.22</v>
      </c>
    </row>
    <row r="178" spans="1:16" ht="20.25" customHeight="1">
      <c r="A178" s="47" t="s">
        <v>192</v>
      </c>
      <c r="C178" s="130">
        <v>6206.09</v>
      </c>
      <c r="D178" s="130">
        <v>8192.02</v>
      </c>
      <c r="E178" s="130">
        <v>7314.31</v>
      </c>
      <c r="F178" s="130">
        <v>8000</v>
      </c>
      <c r="G178" s="130">
        <v>8000</v>
      </c>
      <c r="H178" s="130">
        <v>8000</v>
      </c>
      <c r="I178" s="130">
        <v>8000</v>
      </c>
      <c r="J178" s="130">
        <v>8000</v>
      </c>
      <c r="K178" s="130">
        <v>8000</v>
      </c>
      <c r="L178" s="130">
        <v>8000</v>
      </c>
      <c r="M178" s="130">
        <v>8000</v>
      </c>
      <c r="N178" s="130">
        <v>8000</v>
      </c>
      <c r="O178" s="105">
        <f t="shared" si="39"/>
        <v>93712.42</v>
      </c>
    </row>
    <row r="179" spans="1:16" ht="20.25" customHeight="1">
      <c r="A179" s="47" t="s">
        <v>193</v>
      </c>
      <c r="C179" s="130"/>
      <c r="D179" s="130">
        <v>0</v>
      </c>
      <c r="E179" s="130">
        <v>96.74</v>
      </c>
      <c r="F179" s="130">
        <v>8000</v>
      </c>
      <c r="G179" s="130">
        <v>8000</v>
      </c>
      <c r="H179" s="130">
        <v>8000</v>
      </c>
      <c r="I179" s="130">
        <v>8000</v>
      </c>
      <c r="J179" s="130">
        <v>8000</v>
      </c>
      <c r="K179" s="130">
        <v>8000</v>
      </c>
      <c r="L179" s="130">
        <v>8000</v>
      </c>
      <c r="M179" s="130">
        <v>10000</v>
      </c>
      <c r="N179" s="130">
        <v>10000</v>
      </c>
      <c r="O179" s="105">
        <f t="shared" si="39"/>
        <v>76096.739999999991</v>
      </c>
    </row>
    <row r="180" spans="1:16" ht="20.25" customHeight="1">
      <c r="A180" s="47" t="s">
        <v>194</v>
      </c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05">
        <f t="shared" si="39"/>
        <v>0</v>
      </c>
    </row>
    <row r="181" spans="1:16" ht="20.25" customHeight="1">
      <c r="A181" s="47" t="s">
        <v>195</v>
      </c>
      <c r="C181" s="130">
        <v>338246.95</v>
      </c>
      <c r="D181" s="130" t="e">
        <f>#REF!*4.5%</f>
        <v>#REF!</v>
      </c>
      <c r="E181" s="130">
        <v>378168.8</v>
      </c>
      <c r="F181" s="130" t="e">
        <f>#REF!*4.5%</f>
        <v>#REF!</v>
      </c>
      <c r="G181" s="130" t="e">
        <f>#REF!*4.5%</f>
        <v>#REF!</v>
      </c>
      <c r="H181" s="130" t="e">
        <f>#REF!*4.5%</f>
        <v>#REF!</v>
      </c>
      <c r="I181" s="130" t="e">
        <f>#REF!*4.5%</f>
        <v>#REF!</v>
      </c>
      <c r="J181" s="130" t="e">
        <f>#REF!*4.5%</f>
        <v>#REF!</v>
      </c>
      <c r="K181" s="130" t="e">
        <f>#REF!*4.5%</f>
        <v>#REF!</v>
      </c>
      <c r="L181" s="130" t="e">
        <f>#REF!*4.5%</f>
        <v>#REF!</v>
      </c>
      <c r="M181" s="130" t="e">
        <f>#REF!*4.5%</f>
        <v>#REF!</v>
      </c>
      <c r="N181" s="130" t="e">
        <f>#REF!*4.5%</f>
        <v>#REF!</v>
      </c>
      <c r="O181" s="105" t="e">
        <f t="shared" si="39"/>
        <v>#REF!</v>
      </c>
    </row>
    <row r="182" spans="1:16" ht="20.25" customHeight="1">
      <c r="A182" s="47" t="s">
        <v>196</v>
      </c>
      <c r="C182" s="130"/>
      <c r="D182" s="130"/>
      <c r="E182" s="130">
        <v>35376.01</v>
      </c>
      <c r="F182" s="130"/>
      <c r="G182" s="130"/>
      <c r="H182" s="130"/>
      <c r="I182" s="130"/>
      <c r="J182" s="130"/>
      <c r="K182" s="130"/>
      <c r="L182" s="130"/>
      <c r="M182" s="130"/>
      <c r="N182" s="130"/>
      <c r="O182" s="105">
        <f t="shared" si="39"/>
        <v>35376.01</v>
      </c>
    </row>
    <row r="183" spans="1:16" ht="20.25" customHeight="1">
      <c r="A183" s="47" t="s">
        <v>197</v>
      </c>
      <c r="C183" s="130">
        <v>335099.8</v>
      </c>
      <c r="D183" s="130">
        <v>371475.84</v>
      </c>
      <c r="E183" s="130">
        <v>374005.54</v>
      </c>
      <c r="F183" s="130" t="e">
        <f>((#REF!)-#REF!-#REF!)*5%</f>
        <v>#REF!</v>
      </c>
      <c r="G183" s="130" t="e">
        <f>((#REF!)-#REF!-#REF!)*5%</f>
        <v>#REF!</v>
      </c>
      <c r="H183" s="130" t="e">
        <f>((#REF!)-#REF!-#REF!)*5%</f>
        <v>#REF!</v>
      </c>
      <c r="I183" s="130" t="e">
        <f>((#REF!)-#REF!-#REF!)*5%</f>
        <v>#REF!</v>
      </c>
      <c r="J183" s="130" t="e">
        <f>((#REF!)-#REF!-#REF!)*5%</f>
        <v>#REF!</v>
      </c>
      <c r="K183" s="130" t="e">
        <f>((#REF!)-#REF!-#REF!)*5%</f>
        <v>#REF!</v>
      </c>
      <c r="L183" s="130" t="e">
        <f>((#REF!)-#REF!-#REF!)*5%</f>
        <v>#REF!</v>
      </c>
      <c r="M183" s="130" t="e">
        <f>((#REF!)-#REF!-#REF!)*5%</f>
        <v>#REF!</v>
      </c>
      <c r="N183" s="130" t="e">
        <f>((#REF!)-#REF!-#REF!)*5%</f>
        <v>#REF!</v>
      </c>
      <c r="O183" s="105" t="e">
        <f t="shared" si="39"/>
        <v>#REF!</v>
      </c>
    </row>
    <row r="184" spans="1:16" ht="20.25" customHeight="1">
      <c r="A184" s="47" t="s">
        <v>198</v>
      </c>
      <c r="C184" s="130">
        <v>2672.36</v>
      </c>
      <c r="D184" s="130">
        <v>2994.97</v>
      </c>
      <c r="E184" s="130">
        <v>2444.42</v>
      </c>
      <c r="F184" s="130">
        <v>4000</v>
      </c>
      <c r="G184" s="130">
        <v>4000</v>
      </c>
      <c r="H184" s="130">
        <v>4000</v>
      </c>
      <c r="I184" s="130">
        <v>4000</v>
      </c>
      <c r="J184" s="130">
        <v>4000</v>
      </c>
      <c r="K184" s="130">
        <v>4000</v>
      </c>
      <c r="L184" s="130">
        <v>4000</v>
      </c>
      <c r="M184" s="130">
        <v>4000</v>
      </c>
      <c r="N184" s="130">
        <v>4000</v>
      </c>
      <c r="O184" s="105">
        <f t="shared" si="39"/>
        <v>44111.75</v>
      </c>
    </row>
    <row r="185" spans="1:16" ht="20.25" customHeight="1">
      <c r="A185" s="47" t="s">
        <v>1038</v>
      </c>
      <c r="C185" s="130">
        <v>17401.79</v>
      </c>
      <c r="D185" s="130">
        <v>17145.43</v>
      </c>
      <c r="E185" s="130">
        <v>18157.05</v>
      </c>
      <c r="F185" s="130">
        <f t="shared" ref="F185:N185" si="41">2900000*0.65%</f>
        <v>18850</v>
      </c>
      <c r="G185" s="130">
        <f t="shared" si="41"/>
        <v>18850</v>
      </c>
      <c r="H185" s="130">
        <f t="shared" si="41"/>
        <v>18850</v>
      </c>
      <c r="I185" s="130">
        <f t="shared" si="41"/>
        <v>18850</v>
      </c>
      <c r="J185" s="130">
        <f t="shared" si="41"/>
        <v>18850</v>
      </c>
      <c r="K185" s="130">
        <f t="shared" si="41"/>
        <v>18850</v>
      </c>
      <c r="L185" s="130">
        <f t="shared" si="41"/>
        <v>18850</v>
      </c>
      <c r="M185" s="130">
        <f t="shared" si="41"/>
        <v>18850</v>
      </c>
      <c r="N185" s="130">
        <f t="shared" si="41"/>
        <v>18850</v>
      </c>
      <c r="O185" s="105">
        <f t="shared" si="39"/>
        <v>222354.27000000002</v>
      </c>
    </row>
    <row r="186" spans="1:16" ht="20.25" customHeight="1">
      <c r="A186" s="47" t="s">
        <v>1039</v>
      </c>
      <c r="C186" s="130">
        <v>66718.45</v>
      </c>
      <c r="D186" s="130">
        <v>77616.490000000005</v>
      </c>
      <c r="E186" s="130">
        <v>74160.56</v>
      </c>
      <c r="F186" s="130" t="e">
        <f>(((#REF!)-2500000)*1.65%)-10000</f>
        <v>#REF!</v>
      </c>
      <c r="G186" s="130" t="e">
        <f>(((#REF!)-2500000)*1.65%)-9000</f>
        <v>#REF!</v>
      </c>
      <c r="H186" s="130" t="e">
        <f>(((#REF!)-2500000)*1.65%)-10000</f>
        <v>#REF!</v>
      </c>
      <c r="I186" s="130" t="e">
        <f>(((#REF!)-2500000)*1.65%)-9000</f>
        <v>#REF!</v>
      </c>
      <c r="J186" s="130" t="e">
        <f>(((#REF!)-2500000)*1.65%)-10000</f>
        <v>#REF!</v>
      </c>
      <c r="K186" s="130" t="e">
        <f>(((#REF!)-2500000)*1.65%)-10000</f>
        <v>#REF!</v>
      </c>
      <c r="L186" s="130" t="e">
        <f>(((#REF!)-2500000)*1.65%)-9000</f>
        <v>#REF!</v>
      </c>
      <c r="M186" s="130" t="e">
        <f>(((#REF!)-2500000)*1.65%)-10000</f>
        <v>#REF!</v>
      </c>
      <c r="N186" s="130" t="e">
        <f>(((#REF!)-2500000)*1.65%)-10000</f>
        <v>#REF!</v>
      </c>
      <c r="O186" s="105" t="e">
        <f t="shared" si="39"/>
        <v>#REF!</v>
      </c>
    </row>
    <row r="187" spans="1:16" ht="20.25" customHeight="1">
      <c r="A187" s="64" t="s">
        <v>200</v>
      </c>
      <c r="B187" s="7"/>
      <c r="C187" s="106">
        <f t="shared" ref="C187:O187" si="42">SUM(C168:C186)</f>
        <v>1203921.5000000002</v>
      </c>
      <c r="D187" s="106" t="e">
        <f t="shared" si="42"/>
        <v>#REF!</v>
      </c>
      <c r="E187" s="106">
        <f t="shared" si="42"/>
        <v>1335498.68</v>
      </c>
      <c r="F187" s="106" t="e">
        <f t="shared" si="42"/>
        <v>#REF!</v>
      </c>
      <c r="G187" s="106" t="e">
        <f t="shared" si="42"/>
        <v>#REF!</v>
      </c>
      <c r="H187" s="106" t="e">
        <f t="shared" si="42"/>
        <v>#REF!</v>
      </c>
      <c r="I187" s="106" t="e">
        <f t="shared" si="42"/>
        <v>#REF!</v>
      </c>
      <c r="J187" s="106" t="e">
        <f t="shared" si="42"/>
        <v>#REF!</v>
      </c>
      <c r="K187" s="106" t="e">
        <f t="shared" si="42"/>
        <v>#REF!</v>
      </c>
      <c r="L187" s="106" t="e">
        <f t="shared" si="42"/>
        <v>#REF!</v>
      </c>
      <c r="M187" s="106" t="e">
        <f t="shared" si="42"/>
        <v>#REF!</v>
      </c>
      <c r="N187" s="106" t="e">
        <f t="shared" si="42"/>
        <v>#REF!</v>
      </c>
      <c r="O187" s="106" t="e">
        <f t="shared" si="42"/>
        <v>#REF!</v>
      </c>
      <c r="P187" s="14"/>
    </row>
    <row r="188" spans="1:16" ht="26.65" customHeight="1">
      <c r="A188" s="66" t="s">
        <v>201</v>
      </c>
      <c r="B188" s="50"/>
      <c r="C188" s="78" t="str">
        <f t="shared" ref="C188:O188" si="43">C167</f>
        <v>Janeiro</v>
      </c>
      <c r="D188" s="78" t="str">
        <f t="shared" si="43"/>
        <v>Fevereiro</v>
      </c>
      <c r="E188" s="78" t="str">
        <f t="shared" si="43"/>
        <v xml:space="preserve">Março </v>
      </c>
      <c r="F188" s="78" t="str">
        <f t="shared" si="43"/>
        <v>Abril</v>
      </c>
      <c r="G188" s="78" t="str">
        <f t="shared" si="43"/>
        <v>Maio</v>
      </c>
      <c r="H188" s="78" t="str">
        <f t="shared" si="43"/>
        <v>Junho</v>
      </c>
      <c r="I188" s="78" t="str">
        <f t="shared" si="43"/>
        <v>Julho</v>
      </c>
      <c r="J188" s="78" t="str">
        <f t="shared" si="43"/>
        <v>Agosto</v>
      </c>
      <c r="K188" s="78" t="str">
        <f t="shared" si="43"/>
        <v>Setembro</v>
      </c>
      <c r="L188" s="78" t="str">
        <f t="shared" si="43"/>
        <v>Outubro</v>
      </c>
      <c r="M188" s="78" t="str">
        <f t="shared" si="43"/>
        <v>Novembro</v>
      </c>
      <c r="N188" s="78" t="str">
        <f t="shared" si="43"/>
        <v>Dezembro</v>
      </c>
      <c r="O188" s="40" t="str">
        <f t="shared" si="43"/>
        <v xml:space="preserve">TOTAL </v>
      </c>
    </row>
    <row r="189" spans="1:16" ht="20.25" customHeight="1">
      <c r="A189" s="47" t="s">
        <v>202</v>
      </c>
      <c r="C189" s="130">
        <v>66203.38</v>
      </c>
      <c r="D189" s="130">
        <v>66203.28</v>
      </c>
      <c r="E189" s="130">
        <v>66203.61</v>
      </c>
      <c r="F189" s="130">
        <v>68931.3</v>
      </c>
      <c r="G189" s="130">
        <v>68931.3</v>
      </c>
      <c r="H189" s="130">
        <v>70931.3</v>
      </c>
      <c r="I189" s="130">
        <v>70931.3</v>
      </c>
      <c r="J189" s="130">
        <v>70931.3</v>
      </c>
      <c r="K189" s="130">
        <v>70931.3</v>
      </c>
      <c r="L189" s="130">
        <v>70931.3</v>
      </c>
      <c r="M189" s="130">
        <v>70931.3</v>
      </c>
      <c r="N189" s="130">
        <v>70931.3</v>
      </c>
      <c r="O189" s="105">
        <f t="shared" ref="O189:O194" si="44">SUM(C189:N189)</f>
        <v>832991.9700000002</v>
      </c>
    </row>
    <row r="190" spans="1:16" ht="20.25" customHeight="1">
      <c r="A190" s="47" t="s">
        <v>203</v>
      </c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05">
        <f t="shared" si="44"/>
        <v>0</v>
      </c>
    </row>
    <row r="191" spans="1:16" ht="20.25" customHeight="1">
      <c r="A191" s="47" t="s">
        <v>204</v>
      </c>
      <c r="C191" s="130"/>
      <c r="D191" s="130"/>
      <c r="E191" s="130">
        <v>0</v>
      </c>
      <c r="F191" s="130">
        <v>0</v>
      </c>
      <c r="G191" s="130">
        <v>0</v>
      </c>
      <c r="H191" s="130">
        <v>27514.89</v>
      </c>
      <c r="I191" s="130">
        <v>298245.28999999998</v>
      </c>
      <c r="J191" s="130"/>
      <c r="K191" s="130"/>
      <c r="L191" s="130"/>
      <c r="M191" s="130"/>
      <c r="N191" s="130"/>
      <c r="O191" s="105">
        <f t="shared" si="44"/>
        <v>325760.18</v>
      </c>
    </row>
    <row r="192" spans="1:16" ht="20.25" customHeight="1">
      <c r="A192" s="47" t="s">
        <v>205</v>
      </c>
      <c r="C192" s="130">
        <f>516267.34-224998.84-499</f>
        <v>290769.5</v>
      </c>
      <c r="D192" s="130">
        <f>537206.29-499</f>
        <v>536707.29</v>
      </c>
      <c r="E192" s="130">
        <v>509347.75</v>
      </c>
      <c r="F192" s="130">
        <v>520911.88</v>
      </c>
      <c r="G192" s="130">
        <v>520911.88</v>
      </c>
      <c r="H192" s="130">
        <v>520911.88</v>
      </c>
      <c r="I192" s="130">
        <v>530911.88</v>
      </c>
      <c r="J192" s="130">
        <v>530911.88</v>
      </c>
      <c r="K192" s="130">
        <v>530911.88</v>
      </c>
      <c r="L192" s="130">
        <v>530911.88</v>
      </c>
      <c r="M192" s="130">
        <v>520911.88</v>
      </c>
      <c r="N192" s="130">
        <v>520911.88</v>
      </c>
      <c r="O192" s="105">
        <f t="shared" si="44"/>
        <v>6065031.459999999</v>
      </c>
    </row>
    <row r="193" spans="1:16" ht="20.25" customHeight="1">
      <c r="A193" s="65" t="s">
        <v>206</v>
      </c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>
        <v>1800000</v>
      </c>
      <c r="O193" s="105">
        <f t="shared" si="44"/>
        <v>1800000</v>
      </c>
    </row>
    <row r="194" spans="1:16" ht="20.25" customHeight="1">
      <c r="A194" s="65" t="s">
        <v>207</v>
      </c>
      <c r="C194" s="130"/>
      <c r="D194" s="130"/>
      <c r="E194" s="130"/>
      <c r="F194" s="130"/>
      <c r="G194" s="130"/>
      <c r="H194" s="130">
        <v>400000</v>
      </c>
      <c r="I194" s="130"/>
      <c r="J194" s="130"/>
      <c r="K194" s="130"/>
      <c r="L194" s="130"/>
      <c r="M194" s="130"/>
      <c r="N194" s="130"/>
      <c r="O194" s="105">
        <f t="shared" si="44"/>
        <v>400000</v>
      </c>
    </row>
    <row r="195" spans="1:16" ht="20.25" customHeight="1">
      <c r="A195" s="65" t="s">
        <v>1040</v>
      </c>
      <c r="C195" s="130"/>
      <c r="D195" s="130">
        <v>0</v>
      </c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05"/>
    </row>
    <row r="196" spans="1:16" ht="20.25" customHeight="1">
      <c r="A196" s="64" t="s">
        <v>208</v>
      </c>
      <c r="B196" s="7"/>
      <c r="C196" s="106">
        <f t="shared" ref="C196:N196" si="45">SUM(C189:C195)</f>
        <v>356972.88</v>
      </c>
      <c r="D196" s="106">
        <f t="shared" si="45"/>
        <v>602910.57000000007</v>
      </c>
      <c r="E196" s="106">
        <f t="shared" si="45"/>
        <v>575551.36</v>
      </c>
      <c r="F196" s="106">
        <f t="shared" si="45"/>
        <v>589843.18000000005</v>
      </c>
      <c r="G196" s="106">
        <f t="shared" si="45"/>
        <v>589843.18000000005</v>
      </c>
      <c r="H196" s="106">
        <f t="shared" si="45"/>
        <v>1019358.0700000001</v>
      </c>
      <c r="I196" s="106">
        <f t="shared" si="45"/>
        <v>900088.47</v>
      </c>
      <c r="J196" s="106">
        <f t="shared" si="45"/>
        <v>601843.18000000005</v>
      </c>
      <c r="K196" s="106">
        <f t="shared" si="45"/>
        <v>601843.18000000005</v>
      </c>
      <c r="L196" s="106">
        <f t="shared" si="45"/>
        <v>601843.18000000005</v>
      </c>
      <c r="M196" s="106">
        <f t="shared" si="45"/>
        <v>591843.18000000005</v>
      </c>
      <c r="N196" s="106">
        <f t="shared" si="45"/>
        <v>2391843.1800000002</v>
      </c>
      <c r="O196" s="106">
        <f>SUM(O189:O195)</f>
        <v>9423783.6099999994</v>
      </c>
      <c r="P196" s="14"/>
    </row>
    <row r="197" spans="1:16" ht="27.75" customHeight="1">
      <c r="A197" s="66" t="s">
        <v>209</v>
      </c>
      <c r="B197" s="66"/>
      <c r="C197" s="78" t="str">
        <f t="shared" ref="C197:O197" si="46">C188</f>
        <v>Janeiro</v>
      </c>
      <c r="D197" s="78" t="str">
        <f t="shared" si="46"/>
        <v>Fevereiro</v>
      </c>
      <c r="E197" s="78" t="str">
        <f t="shared" si="46"/>
        <v xml:space="preserve">Março </v>
      </c>
      <c r="F197" s="78" t="str">
        <f t="shared" si="46"/>
        <v>Abril</v>
      </c>
      <c r="G197" s="78" t="str">
        <f t="shared" si="46"/>
        <v>Maio</v>
      </c>
      <c r="H197" s="78" t="str">
        <f t="shared" si="46"/>
        <v>Junho</v>
      </c>
      <c r="I197" s="78" t="str">
        <f t="shared" si="46"/>
        <v>Julho</v>
      </c>
      <c r="J197" s="78" t="str">
        <f t="shared" si="46"/>
        <v>Agosto</v>
      </c>
      <c r="K197" s="78" t="str">
        <f t="shared" si="46"/>
        <v>Setembro</v>
      </c>
      <c r="L197" s="78" t="str">
        <f t="shared" si="46"/>
        <v>Outubro</v>
      </c>
      <c r="M197" s="78" t="str">
        <f t="shared" si="46"/>
        <v>Novembro</v>
      </c>
      <c r="N197" s="78" t="str">
        <f t="shared" si="46"/>
        <v>Dezembro</v>
      </c>
      <c r="O197" s="40" t="str">
        <f t="shared" si="46"/>
        <v xml:space="preserve">TOTAL </v>
      </c>
    </row>
    <row r="198" spans="1:16" ht="20.25" hidden="1" customHeight="1">
      <c r="A198" s="68" t="s">
        <v>210</v>
      </c>
      <c r="B198" s="68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47"/>
    </row>
    <row r="199" spans="1:16" ht="20.25" customHeight="1">
      <c r="A199" s="108" t="s">
        <v>1041</v>
      </c>
      <c r="B199" s="101" t="s">
        <v>1000</v>
      </c>
      <c r="C199" s="136">
        <v>0</v>
      </c>
      <c r="D199" s="130">
        <f>C199</f>
        <v>0</v>
      </c>
      <c r="E199" s="130">
        <v>0</v>
      </c>
      <c r="F199" s="130">
        <f t="shared" ref="F199:N199" si="47">E199</f>
        <v>0</v>
      </c>
      <c r="G199" s="130"/>
      <c r="H199" s="130"/>
      <c r="I199" s="130">
        <v>95583</v>
      </c>
      <c r="J199" s="130">
        <f t="shared" si="47"/>
        <v>95583</v>
      </c>
      <c r="K199" s="130">
        <f t="shared" si="47"/>
        <v>95583</v>
      </c>
      <c r="L199" s="130">
        <f t="shared" si="47"/>
        <v>95583</v>
      </c>
      <c r="M199" s="130">
        <f t="shared" si="47"/>
        <v>95583</v>
      </c>
      <c r="N199" s="130">
        <f t="shared" si="47"/>
        <v>95583</v>
      </c>
      <c r="O199" s="105">
        <f t="shared" ref="O199:O210" si="48">SUM(C199:N199)</f>
        <v>573498</v>
      </c>
    </row>
    <row r="200" spans="1:16" ht="20.25" customHeight="1">
      <c r="A200" s="109" t="s">
        <v>212</v>
      </c>
      <c r="B200" s="101" t="s">
        <v>1000</v>
      </c>
      <c r="C200" s="136">
        <v>0</v>
      </c>
      <c r="D200" s="130">
        <v>0</v>
      </c>
      <c r="E200" s="130">
        <v>0</v>
      </c>
      <c r="F200" s="130">
        <v>0</v>
      </c>
      <c r="G200" s="130">
        <v>0</v>
      </c>
      <c r="H200" s="130">
        <v>0</v>
      </c>
      <c r="I200" s="130"/>
      <c r="J200" s="130"/>
      <c r="K200" s="130"/>
      <c r="L200" s="130"/>
      <c r="M200" s="130"/>
      <c r="N200" s="130"/>
      <c r="O200" s="105">
        <f t="shared" si="48"/>
        <v>0</v>
      </c>
    </row>
    <row r="201" spans="1:16" ht="20.25" customHeight="1">
      <c r="A201" s="109" t="s">
        <v>213</v>
      </c>
      <c r="B201" s="101" t="s">
        <v>1000</v>
      </c>
      <c r="C201" s="136">
        <v>0</v>
      </c>
      <c r="D201" s="130">
        <v>0</v>
      </c>
      <c r="E201" s="130">
        <v>0</v>
      </c>
      <c r="F201" s="130">
        <v>0</v>
      </c>
      <c r="G201" s="130">
        <v>0</v>
      </c>
      <c r="H201" s="130">
        <v>0</v>
      </c>
      <c r="I201" s="130"/>
      <c r="J201" s="130"/>
      <c r="K201" s="130"/>
      <c r="L201" s="130"/>
      <c r="M201" s="130"/>
      <c r="N201" s="130"/>
      <c r="O201" s="105">
        <f t="shared" si="48"/>
        <v>0</v>
      </c>
    </row>
    <row r="202" spans="1:16" ht="20.25" customHeight="1">
      <c r="A202" s="4" t="s">
        <v>1042</v>
      </c>
      <c r="B202" s="101" t="s">
        <v>1000</v>
      </c>
      <c r="C202" s="136">
        <v>0</v>
      </c>
      <c r="D202" s="47"/>
      <c r="E202" s="47"/>
      <c r="F202" s="47"/>
      <c r="G202" s="47"/>
      <c r="H202" s="130">
        <v>15000</v>
      </c>
      <c r="I202" s="130">
        <v>15000</v>
      </c>
      <c r="J202" s="130">
        <v>15000</v>
      </c>
      <c r="K202" s="130">
        <v>15000</v>
      </c>
      <c r="L202" s="130">
        <v>15000</v>
      </c>
      <c r="M202" s="130">
        <v>15000</v>
      </c>
      <c r="N202" s="130">
        <v>15000</v>
      </c>
      <c r="O202" s="105">
        <f t="shared" si="48"/>
        <v>105000</v>
      </c>
    </row>
    <row r="203" spans="1:16" ht="20.25" customHeight="1">
      <c r="A203" s="108" t="s">
        <v>215</v>
      </c>
      <c r="B203" s="101" t="s">
        <v>1000</v>
      </c>
      <c r="C203" s="136"/>
      <c r="D203" s="130"/>
      <c r="E203" s="130"/>
      <c r="F203" s="130">
        <v>20000</v>
      </c>
      <c r="G203" s="130">
        <v>20000</v>
      </c>
      <c r="H203" s="130">
        <v>20000</v>
      </c>
      <c r="I203" s="130">
        <v>20000</v>
      </c>
      <c r="J203" s="130">
        <v>20000</v>
      </c>
      <c r="K203" s="130">
        <v>20000</v>
      </c>
      <c r="L203" s="130"/>
      <c r="M203" s="130"/>
      <c r="N203" s="130"/>
      <c r="O203" s="105">
        <f t="shared" si="48"/>
        <v>120000</v>
      </c>
    </row>
    <row r="204" spans="1:16" ht="20.25" customHeight="1">
      <c r="A204" s="110" t="s">
        <v>1043</v>
      </c>
      <c r="B204" s="101" t="s">
        <v>1000</v>
      </c>
      <c r="C204" s="136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05">
        <f t="shared" si="48"/>
        <v>0</v>
      </c>
    </row>
    <row r="205" spans="1:16" ht="20.25" customHeight="1">
      <c r="A205" s="47" t="s">
        <v>1044</v>
      </c>
      <c r="B205" s="101" t="s">
        <v>1024</v>
      </c>
      <c r="C205" s="136"/>
      <c r="D205" s="130"/>
      <c r="E205" s="130">
        <v>0</v>
      </c>
      <c r="F205" s="130"/>
      <c r="G205" s="130"/>
      <c r="H205" s="130">
        <v>0</v>
      </c>
      <c r="I205" s="130">
        <v>0</v>
      </c>
      <c r="J205" s="130">
        <v>0</v>
      </c>
      <c r="K205" s="130"/>
      <c r="L205" s="130"/>
      <c r="M205" s="130"/>
      <c r="N205" s="130"/>
      <c r="O205" s="105">
        <f t="shared" si="48"/>
        <v>0</v>
      </c>
    </row>
    <row r="206" spans="1:16" ht="20.25" customHeight="1">
      <c r="A206" s="47" t="s">
        <v>1045</v>
      </c>
      <c r="B206" s="101" t="s">
        <v>987</v>
      </c>
      <c r="C206" s="130"/>
      <c r="D206" s="130"/>
      <c r="E206" s="130"/>
      <c r="F206" s="130"/>
      <c r="G206" s="130"/>
      <c r="H206" s="130"/>
      <c r="I206" s="130">
        <v>50000</v>
      </c>
      <c r="J206" s="130">
        <v>50000</v>
      </c>
      <c r="K206" s="130">
        <v>50000</v>
      </c>
      <c r="L206" s="130">
        <v>50000</v>
      </c>
      <c r="M206" s="130"/>
      <c r="N206" s="130"/>
      <c r="O206" s="105">
        <f t="shared" si="48"/>
        <v>200000</v>
      </c>
    </row>
    <row r="207" spans="1:16" ht="20.25" customHeight="1">
      <c r="A207" s="47" t="s">
        <v>1046</v>
      </c>
      <c r="B207" s="101" t="s">
        <v>987</v>
      </c>
      <c r="C207" s="130"/>
      <c r="D207" s="130"/>
      <c r="E207" s="130"/>
      <c r="F207" s="130"/>
      <c r="G207" s="130"/>
      <c r="H207" s="130"/>
      <c r="I207" s="130"/>
      <c r="J207" s="130"/>
      <c r="K207" s="130"/>
      <c r="L207" s="130">
        <v>30000</v>
      </c>
      <c r="M207" s="130">
        <v>30000</v>
      </c>
      <c r="N207" s="130"/>
      <c r="O207" s="105">
        <f t="shared" si="48"/>
        <v>60000</v>
      </c>
    </row>
    <row r="208" spans="1:16" ht="20.25" customHeight="1">
      <c r="A208" s="47" t="s">
        <v>1047</v>
      </c>
      <c r="B208" s="101" t="s">
        <v>987</v>
      </c>
      <c r="C208" s="130"/>
      <c r="D208" s="130"/>
      <c r="E208" s="130"/>
      <c r="F208" s="130"/>
      <c r="G208" s="130"/>
      <c r="H208" s="130"/>
      <c r="I208" s="130"/>
      <c r="J208" s="130"/>
      <c r="K208" s="130">
        <v>60000</v>
      </c>
      <c r="L208" s="130">
        <v>60000</v>
      </c>
      <c r="M208" s="130"/>
      <c r="N208" s="130"/>
      <c r="O208" s="105">
        <f t="shared" si="48"/>
        <v>120000</v>
      </c>
    </row>
    <row r="209" spans="1:16" ht="20.25" customHeight="1">
      <c r="A209" s="65" t="s">
        <v>1048</v>
      </c>
      <c r="B209" s="101" t="s">
        <v>1049</v>
      </c>
      <c r="C209" s="130"/>
      <c r="D209" s="130"/>
      <c r="E209" s="130"/>
      <c r="F209" s="130"/>
      <c r="G209" s="130"/>
      <c r="H209" s="130"/>
      <c r="I209" s="130"/>
      <c r="J209" s="136">
        <v>168700</v>
      </c>
      <c r="K209" s="130"/>
      <c r="L209" s="130"/>
      <c r="M209" s="130"/>
      <c r="N209" s="130"/>
      <c r="O209" s="105">
        <f t="shared" si="48"/>
        <v>168700</v>
      </c>
    </row>
    <row r="210" spans="1:16" ht="20.25" customHeight="1">
      <c r="B210" s="47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05">
        <f t="shared" si="48"/>
        <v>0</v>
      </c>
    </row>
    <row r="211" spans="1:16" ht="20.25" customHeight="1">
      <c r="A211" s="64" t="s">
        <v>216</v>
      </c>
      <c r="B211" s="64"/>
      <c r="C211" s="106">
        <f t="shared" ref="C211:O211" si="49">SUM(C199:C210)</f>
        <v>0</v>
      </c>
      <c r="D211" s="106">
        <f t="shared" si="49"/>
        <v>0</v>
      </c>
      <c r="E211" s="106">
        <f t="shared" si="49"/>
        <v>0</v>
      </c>
      <c r="F211" s="106">
        <f t="shared" si="49"/>
        <v>20000</v>
      </c>
      <c r="G211" s="106">
        <f t="shared" si="49"/>
        <v>20000</v>
      </c>
      <c r="H211" s="106">
        <f t="shared" si="49"/>
        <v>35000</v>
      </c>
      <c r="I211" s="106">
        <f t="shared" si="49"/>
        <v>180583</v>
      </c>
      <c r="J211" s="106">
        <f t="shared" si="49"/>
        <v>349283</v>
      </c>
      <c r="K211" s="106">
        <f t="shared" si="49"/>
        <v>240583</v>
      </c>
      <c r="L211" s="106">
        <f t="shared" si="49"/>
        <v>250583</v>
      </c>
      <c r="M211" s="106">
        <f t="shared" si="49"/>
        <v>140583</v>
      </c>
      <c r="N211" s="106">
        <f t="shared" si="49"/>
        <v>110583</v>
      </c>
      <c r="O211" s="8">
        <f t="shared" si="49"/>
        <v>1347198</v>
      </c>
      <c r="P211" s="14"/>
    </row>
    <row r="212" spans="1:16" ht="31.9" hidden="1" customHeight="1">
      <c r="A212" s="66" t="s">
        <v>217</v>
      </c>
      <c r="B212" s="50"/>
      <c r="C212" s="29"/>
      <c r="D212" s="29"/>
      <c r="E212" s="29"/>
      <c r="F212" s="29"/>
      <c r="G212" s="29"/>
      <c r="H212" s="29"/>
      <c r="I212" s="29"/>
      <c r="J212" s="29"/>
      <c r="K212" s="10"/>
      <c r="L212" s="10"/>
      <c r="M212" s="10"/>
      <c r="N212" s="10"/>
      <c r="O212" s="47"/>
    </row>
    <row r="213" spans="1:16" ht="20.25" hidden="1" customHeight="1">
      <c r="A213" s="47" t="s">
        <v>218</v>
      </c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47"/>
    </row>
    <row r="214" spans="1:16" ht="20.25" hidden="1" customHeight="1">
      <c r="A214" s="64" t="s">
        <v>208</v>
      </c>
      <c r="B214" s="7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47"/>
    </row>
    <row r="215" spans="1:16" ht="20.25" customHeight="1">
      <c r="A215" s="69" t="s">
        <v>219</v>
      </c>
      <c r="B215" s="53"/>
      <c r="C215" s="12">
        <f t="shared" ref="C215:O215" si="50">C22+C41+C50+C53+C63+C91+C120+C148+C159+C166+C187+C196+C211+C214</f>
        <v>8085800.1594169997</v>
      </c>
      <c r="D215" s="12" t="e">
        <f t="shared" si="50"/>
        <v>#REF!</v>
      </c>
      <c r="E215" s="12">
        <f t="shared" si="50"/>
        <v>8967123.81171</v>
      </c>
      <c r="F215" s="12" t="e">
        <f t="shared" si="50"/>
        <v>#REF!</v>
      </c>
      <c r="G215" s="12" t="e">
        <f t="shared" si="50"/>
        <v>#REF!</v>
      </c>
      <c r="H215" s="12" t="e">
        <f t="shared" si="50"/>
        <v>#REF!</v>
      </c>
      <c r="I215" s="12" t="e">
        <f t="shared" si="50"/>
        <v>#REF!</v>
      </c>
      <c r="J215" s="12" t="e">
        <f t="shared" si="50"/>
        <v>#REF!</v>
      </c>
      <c r="K215" s="12" t="e">
        <f t="shared" si="50"/>
        <v>#REF!</v>
      </c>
      <c r="L215" s="12" t="e">
        <f t="shared" si="50"/>
        <v>#REF!</v>
      </c>
      <c r="M215" s="12" t="e">
        <f t="shared" si="50"/>
        <v>#REF!</v>
      </c>
      <c r="N215" s="12" t="e">
        <f t="shared" si="50"/>
        <v>#REF!</v>
      </c>
      <c r="O215" s="12" t="e">
        <f t="shared" si="50"/>
        <v>#REF!</v>
      </c>
    </row>
    <row r="216" spans="1:16">
      <c r="A216" s="58"/>
      <c r="B216" s="51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47"/>
    </row>
    <row r="217" spans="1:16" ht="31.9" customHeight="1">
      <c r="A217" s="70" t="s">
        <v>220</v>
      </c>
      <c r="B217" s="17"/>
      <c r="C217" s="18" t="e">
        <f>#REF!-'DESPESAS 2018'!C215+C211+C166+C9</f>
        <v>#REF!</v>
      </c>
      <c r="D217" s="18" t="e">
        <f>#REF!-'DESPESAS 2018'!D215+D211+D166+D9</f>
        <v>#REF!</v>
      </c>
      <c r="E217" s="18" t="e">
        <f>#REF!-'DESPESAS 2018'!E215+E211+E166+E9</f>
        <v>#REF!</v>
      </c>
      <c r="F217" s="18" t="e">
        <f>#REF!-'DESPESAS 2018'!F215+F211+F166+F9</f>
        <v>#REF!</v>
      </c>
      <c r="G217" s="18" t="e">
        <f>#REF!-'DESPESAS 2018'!G215+G211+G166+G9</f>
        <v>#REF!</v>
      </c>
      <c r="H217" s="18" t="e">
        <f>#REF!-'DESPESAS 2018'!H215+H211+H166+H9</f>
        <v>#REF!</v>
      </c>
      <c r="I217" s="18" t="e">
        <f>#REF!-'DESPESAS 2018'!I215+I211+I166+I9</f>
        <v>#REF!</v>
      </c>
      <c r="J217" s="18" t="e">
        <f>#REF!-'DESPESAS 2018'!J215+J211+J166+J9</f>
        <v>#REF!</v>
      </c>
      <c r="K217" s="18" t="e">
        <f>#REF!-'DESPESAS 2018'!K215+K211+K166+K9</f>
        <v>#REF!</v>
      </c>
      <c r="L217" s="18" t="e">
        <f>#REF!-'DESPESAS 2018'!L215+L211+L166+L9</f>
        <v>#REF!</v>
      </c>
      <c r="M217" s="18" t="e">
        <f>#REF!-'DESPESAS 2018'!M215+M211+M166+M9</f>
        <v>#REF!</v>
      </c>
      <c r="N217" s="18" t="e">
        <f>#REF!-'DESPESAS 2018'!N215+N211+N166+N9</f>
        <v>#REF!</v>
      </c>
      <c r="O217" s="128" t="e">
        <f>SUM(C217:N217)</f>
        <v>#REF!</v>
      </c>
    </row>
    <row r="218" spans="1:16" ht="13.9">
      <c r="A218" s="71"/>
      <c r="B218" s="54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47"/>
    </row>
    <row r="219" spans="1:16" ht="31.9" customHeight="1">
      <c r="A219" s="55" t="s">
        <v>221</v>
      </c>
      <c r="B219" s="55"/>
      <c r="C219" s="37" t="e">
        <f>#REF!-'DESPESAS 2018'!C215+'DESPESAS 2018'!C196+C183-29390.35+C10</f>
        <v>#REF!</v>
      </c>
      <c r="D219" s="37" t="e">
        <f>#REF!-'DESPESAS 2018'!D215+'DESPESAS 2018'!D196+D183-28585.96+D10</f>
        <v>#REF!</v>
      </c>
      <c r="E219" s="37" t="e">
        <f>#REF!-'DESPESAS 2018'!E215+'DESPESAS 2018'!E196+E183-28830.35+E10</f>
        <v>#REF!</v>
      </c>
      <c r="F219" s="37" t="e">
        <f>#REF!-'DESPESAS 2018'!F215+'DESPESAS 2018'!F196+F183-29390.35+F10</f>
        <v>#REF!</v>
      </c>
      <c r="G219" s="37" t="e">
        <f>#REF!-'DESPESAS 2018'!G215+'DESPESAS 2018'!G196+G183-29390.35+G10</f>
        <v>#REF!</v>
      </c>
      <c r="H219" s="37" t="e">
        <f>#REF!-'DESPESAS 2018'!H215+'DESPESAS 2018'!H196+H183-29390.35+H10</f>
        <v>#REF!</v>
      </c>
      <c r="I219" s="37" t="e">
        <f>#REF!-'DESPESAS 2018'!I215+'DESPESAS 2018'!I196+I183-29390.35+I10</f>
        <v>#REF!</v>
      </c>
      <c r="J219" s="37" t="e">
        <f>#REF!-'DESPESAS 2018'!J215+'DESPESAS 2018'!J196+J183-29390.35+J10</f>
        <v>#REF!</v>
      </c>
      <c r="K219" s="37" t="e">
        <f>#REF!-'DESPESAS 2018'!K215+'DESPESAS 2018'!K196+K183-29390.35+K10</f>
        <v>#REF!</v>
      </c>
      <c r="L219" s="37" t="e">
        <f>#REF!-'DESPESAS 2018'!L215+'DESPESAS 2018'!L196+L183-29390.35+L10</f>
        <v>#REF!</v>
      </c>
      <c r="M219" s="37" t="e">
        <f>#REF!-'DESPESAS 2018'!M215+'DESPESAS 2018'!M196+M183-29390.35+M10</f>
        <v>#REF!</v>
      </c>
      <c r="N219" s="37" t="e">
        <f>#REF!-'DESPESAS 2018'!N215+'DESPESAS 2018'!N196+N183-29390.35+N10</f>
        <v>#REF!</v>
      </c>
      <c r="O219" s="129" t="e">
        <f>SUM(C219:N219)</f>
        <v>#REF!</v>
      </c>
    </row>
    <row r="220" spans="1:16" ht="13.9" hidden="1">
      <c r="A220" s="72"/>
      <c r="B220" s="56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1:16" ht="31.9" hidden="1" customHeight="1">
      <c r="A221" s="70" t="s">
        <v>222</v>
      </c>
      <c r="B221" s="17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26"/>
    </row>
    <row r="222" spans="1:16">
      <c r="A222" s="58"/>
      <c r="B222" s="5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6" hidden="1">
      <c r="A223" s="73" t="s">
        <v>223</v>
      </c>
      <c r="B223" s="57"/>
      <c r="C223" s="21"/>
      <c r="D223" s="21"/>
      <c r="E223" s="21"/>
      <c r="F223" s="21"/>
      <c r="G223" s="25"/>
      <c r="H223" s="22"/>
      <c r="I223" s="22"/>
      <c r="J223" s="22"/>
      <c r="K223" s="23"/>
    </row>
    <row r="224" spans="1:16" hidden="1">
      <c r="A224" s="58" t="s">
        <v>225</v>
      </c>
      <c r="B224" s="51"/>
      <c r="C224" s="19"/>
      <c r="D224" s="19"/>
      <c r="E224" s="19"/>
      <c r="F224" s="14"/>
      <c r="G224" s="14"/>
      <c r="J224" s="14"/>
      <c r="K224" s="14"/>
    </row>
    <row r="225" spans="1:11" hidden="1">
      <c r="A225" s="58" t="s">
        <v>226</v>
      </c>
      <c r="B225" s="51"/>
      <c r="C225" s="19"/>
      <c r="D225" s="19"/>
      <c r="E225" s="19"/>
      <c r="F225" s="14"/>
      <c r="G225" s="14"/>
      <c r="K225" s="14"/>
    </row>
    <row r="226" spans="1:11" hidden="1">
      <c r="A226" s="58" t="s">
        <v>227</v>
      </c>
      <c r="B226" s="51"/>
      <c r="C226" s="20"/>
      <c r="D226" s="20"/>
      <c r="E226" s="20"/>
      <c r="F226" s="24"/>
      <c r="G226" s="24"/>
      <c r="K226" s="14"/>
    </row>
    <row r="227" spans="1:11" hidden="1">
      <c r="A227" s="58" t="s">
        <v>228</v>
      </c>
      <c r="B227" s="51"/>
      <c r="C227" s="19"/>
      <c r="E227" s="19"/>
      <c r="F227" s="14"/>
      <c r="G227" s="14"/>
      <c r="K227" s="14"/>
    </row>
    <row r="228" spans="1:11">
      <c r="A228" s="111" t="s">
        <v>938</v>
      </c>
      <c r="B228" s="112"/>
      <c r="C228" s="113"/>
      <c r="E228" s="19"/>
      <c r="F228" s="14"/>
      <c r="G228" s="14"/>
      <c r="K228" s="14"/>
    </row>
    <row r="229" spans="1:11">
      <c r="A229" s="114" t="s">
        <v>919</v>
      </c>
      <c r="B229" s="1"/>
      <c r="C229" s="115" t="e">
        <f>#REF!</f>
        <v>#REF!</v>
      </c>
      <c r="E229" s="19"/>
      <c r="F229" s="14"/>
      <c r="G229" s="14"/>
      <c r="K229" s="14"/>
    </row>
    <row r="230" spans="1:11">
      <c r="A230" s="114" t="s">
        <v>921</v>
      </c>
      <c r="B230" s="1"/>
      <c r="C230" s="115" t="e">
        <f>O215</f>
        <v>#REF!</v>
      </c>
      <c r="E230" s="19"/>
      <c r="F230" s="14"/>
      <c r="G230" s="14"/>
      <c r="K230" s="14"/>
    </row>
    <row r="231" spans="1:11">
      <c r="A231" s="114" t="s">
        <v>922</v>
      </c>
      <c r="B231" s="1"/>
      <c r="C231" s="115" t="e">
        <f>C229-C230</f>
        <v>#REF!</v>
      </c>
      <c r="E231" s="19"/>
      <c r="F231" s="14"/>
      <c r="G231" s="14"/>
      <c r="K231" s="14"/>
    </row>
    <row r="232" spans="1:11">
      <c r="A232" s="114" t="s">
        <v>1050</v>
      </c>
      <c r="B232" s="1"/>
      <c r="C232" s="115">
        <f>O211</f>
        <v>1347198</v>
      </c>
      <c r="E232" s="19"/>
      <c r="F232" s="14"/>
      <c r="G232" s="14"/>
      <c r="K232" s="14"/>
    </row>
    <row r="233" spans="1:11">
      <c r="A233" s="114" t="s">
        <v>1051</v>
      </c>
      <c r="B233" s="1"/>
      <c r="C233" s="115">
        <f>O166</f>
        <v>4975936.8099999996</v>
      </c>
      <c r="E233" s="19"/>
      <c r="F233" s="14"/>
      <c r="G233" s="14"/>
      <c r="K233" s="14"/>
    </row>
    <row r="234" spans="1:11">
      <c r="A234" s="114" t="s">
        <v>1052</v>
      </c>
      <c r="B234" s="1"/>
      <c r="C234" s="116">
        <f>O9</f>
        <v>2900000</v>
      </c>
      <c r="E234" s="19"/>
      <c r="F234" s="14"/>
      <c r="G234" s="14"/>
      <c r="K234" s="14"/>
    </row>
    <row r="235" spans="1:11">
      <c r="A235" s="117" t="s">
        <v>220</v>
      </c>
      <c r="B235" s="1"/>
      <c r="C235" s="118" t="e">
        <f>SUM(C231:C234)</f>
        <v>#REF!</v>
      </c>
      <c r="E235" s="19"/>
      <c r="F235" s="14"/>
      <c r="G235" s="14"/>
      <c r="K235" s="14"/>
    </row>
    <row r="236" spans="1:11">
      <c r="A236" s="112"/>
      <c r="B236" s="1"/>
      <c r="C236" s="119"/>
      <c r="E236" s="19"/>
      <c r="F236" s="14"/>
      <c r="G236" s="14"/>
      <c r="K236" s="14"/>
    </row>
    <row r="237" spans="1:11">
      <c r="A237" s="120" t="s">
        <v>947</v>
      </c>
      <c r="B237" s="1"/>
      <c r="C237" s="119"/>
      <c r="E237" s="19"/>
      <c r="F237" s="14"/>
      <c r="G237" s="14"/>
      <c r="K237" s="14"/>
    </row>
    <row r="238" spans="1:11">
      <c r="A238" s="117" t="s">
        <v>1053</v>
      </c>
      <c r="B238" s="1"/>
      <c r="C238" s="115" t="e">
        <f>#REF!</f>
        <v>#REF!</v>
      </c>
      <c r="E238" s="19"/>
      <c r="F238" s="14"/>
      <c r="G238" s="14"/>
      <c r="K238" s="14"/>
    </row>
    <row r="239" spans="1:11">
      <c r="A239" s="114" t="s">
        <v>921</v>
      </c>
      <c r="B239" s="1"/>
      <c r="C239" s="115" t="e">
        <f>O215</f>
        <v>#REF!</v>
      </c>
      <c r="E239" s="19"/>
      <c r="F239" s="14"/>
      <c r="G239" s="14"/>
      <c r="K239" s="14"/>
    </row>
    <row r="240" spans="1:11">
      <c r="A240" s="114" t="s">
        <v>923</v>
      </c>
      <c r="B240" s="1"/>
      <c r="C240" s="115" t="e">
        <f>C238-C239</f>
        <v>#REF!</v>
      </c>
      <c r="E240" s="19"/>
      <c r="F240" s="14"/>
      <c r="G240" s="14"/>
      <c r="K240" s="14"/>
    </row>
    <row r="241" spans="1:11">
      <c r="A241" s="121" t="s">
        <v>925</v>
      </c>
      <c r="B241" s="1"/>
      <c r="C241" s="122">
        <f>O196</f>
        <v>9423783.6099999994</v>
      </c>
      <c r="E241" s="19"/>
      <c r="F241" s="14"/>
      <c r="G241" s="14"/>
      <c r="K241" s="14"/>
    </row>
    <row r="242" spans="1:11">
      <c r="A242" s="121" t="s">
        <v>927</v>
      </c>
      <c r="B242" s="1"/>
      <c r="C242" s="122" t="e">
        <f>O183</f>
        <v>#REF!</v>
      </c>
      <c r="E242" s="19"/>
      <c r="F242" s="14"/>
      <c r="G242" s="14"/>
      <c r="K242" s="14"/>
    </row>
    <row r="243" spans="1:11">
      <c r="A243" s="121" t="s">
        <v>929</v>
      </c>
      <c r="B243" s="1"/>
      <c r="C243" s="122">
        <f>O10</f>
        <v>4096746.3068741672</v>
      </c>
      <c r="E243" s="19"/>
      <c r="F243" s="14"/>
      <c r="G243" s="14"/>
      <c r="K243" s="14"/>
    </row>
    <row r="244" spans="1:11">
      <c r="A244" s="121" t="s">
        <v>1054</v>
      </c>
      <c r="B244" s="1"/>
      <c r="C244" s="123">
        <v>-351319.81</v>
      </c>
      <c r="E244" s="19"/>
      <c r="F244" s="14"/>
      <c r="G244" s="14"/>
      <c r="K244" s="14"/>
    </row>
    <row r="245" spans="1:11">
      <c r="A245" s="121" t="s">
        <v>221</v>
      </c>
      <c r="B245" s="1"/>
      <c r="C245" s="124" t="e">
        <f>SUM(C240:C244)</f>
        <v>#REF!</v>
      </c>
      <c r="E245" s="19"/>
      <c r="F245" s="14"/>
      <c r="G245" s="14"/>
      <c r="K245" s="14"/>
    </row>
    <row r="246" spans="1:11">
      <c r="A246" s="125"/>
      <c r="B246" s="126"/>
      <c r="E246" s="19"/>
      <c r="F246" s="14"/>
      <c r="G246" s="14"/>
      <c r="K246" s="14"/>
    </row>
    <row r="247" spans="1:11" hidden="1">
      <c r="A247" s="58"/>
      <c r="B247" s="51"/>
      <c r="C247" s="19"/>
      <c r="E247" s="19"/>
      <c r="F247" s="14"/>
      <c r="G247" s="14"/>
      <c r="K247" s="14"/>
    </row>
    <row r="248" spans="1:11" hidden="1">
      <c r="A248" s="58"/>
      <c r="B248" s="51"/>
      <c r="C248" s="19"/>
      <c r="D248" s="19"/>
      <c r="E248" s="19"/>
      <c r="F248" s="14"/>
      <c r="G248" s="14"/>
      <c r="K248" s="14"/>
    </row>
    <row r="249" spans="1:11" hidden="1">
      <c r="A249" s="58"/>
      <c r="B249" s="51"/>
      <c r="C249" s="19"/>
      <c r="D249" s="19"/>
      <c r="E249" s="19"/>
      <c r="F249" s="14"/>
      <c r="G249" s="14"/>
      <c r="K249" s="14"/>
    </row>
    <row r="250" spans="1:11" hidden="1">
      <c r="A250" s="58"/>
      <c r="B250" s="51"/>
      <c r="C250" s="19"/>
      <c r="D250" s="19"/>
      <c r="E250" s="19"/>
      <c r="F250" s="14"/>
      <c r="G250" s="14"/>
      <c r="K250" s="14"/>
    </row>
    <row r="251" spans="1:11" hidden="1">
      <c r="A251" s="58" t="s">
        <v>231</v>
      </c>
      <c r="B251" s="51"/>
      <c r="C251" s="19"/>
    </row>
    <row r="252" spans="1:11" hidden="1">
      <c r="A252" s="58" t="s">
        <v>1055</v>
      </c>
      <c r="B252" s="51"/>
      <c r="C252" s="30"/>
      <c r="D252" s="30"/>
      <c r="E252" s="30"/>
    </row>
    <row r="253" spans="1:11" hidden="1">
      <c r="A253" s="58" t="s">
        <v>1056</v>
      </c>
      <c r="B253" s="51"/>
      <c r="C253" s="30"/>
      <c r="D253" s="30"/>
      <c r="E253" s="30"/>
    </row>
    <row r="254" spans="1:11" hidden="1">
      <c r="A254" s="58" t="s">
        <v>1057</v>
      </c>
      <c r="B254" s="51"/>
      <c r="C254" s="30"/>
      <c r="D254" s="30"/>
      <c r="E254" s="30"/>
    </row>
    <row r="255" spans="1:11" hidden="1">
      <c r="A255" s="58" t="s">
        <v>235</v>
      </c>
      <c r="B255" s="51"/>
      <c r="C255" s="30"/>
      <c r="D255" s="30"/>
      <c r="E255" s="30"/>
    </row>
    <row r="256" spans="1:11" hidden="1">
      <c r="A256" s="58" t="s">
        <v>1058</v>
      </c>
      <c r="B256" s="51"/>
      <c r="C256" s="30"/>
      <c r="D256" s="30"/>
      <c r="E256" s="30"/>
    </row>
    <row r="257" spans="1:9" hidden="1">
      <c r="A257" s="58" t="s">
        <v>237</v>
      </c>
      <c r="B257" s="51"/>
      <c r="C257" s="30"/>
      <c r="D257" s="30"/>
      <c r="E257" s="30"/>
    </row>
    <row r="258" spans="1:9" hidden="1">
      <c r="A258" s="58" t="s">
        <v>239</v>
      </c>
      <c r="B258" s="51"/>
      <c r="C258" s="30"/>
      <c r="D258" s="30"/>
      <c r="E258" s="30"/>
    </row>
    <row r="259" spans="1:9" hidden="1">
      <c r="A259" s="58" t="s">
        <v>1059</v>
      </c>
      <c r="B259" s="58"/>
      <c r="C259" s="31"/>
      <c r="D259" s="31"/>
      <c r="E259" s="31"/>
      <c r="F259" s="4"/>
      <c r="G259" s="4"/>
      <c r="H259" s="4"/>
      <c r="I259" s="4"/>
    </row>
    <row r="260" spans="1:9" hidden="1">
      <c r="A260" s="58"/>
      <c r="B260" s="51"/>
      <c r="C260" s="31"/>
      <c r="D260" s="31"/>
      <c r="E260" s="31"/>
      <c r="F260" s="4"/>
      <c r="G260" s="4"/>
      <c r="H260" s="4"/>
      <c r="I260" s="4"/>
    </row>
    <row r="261" spans="1:9" hidden="1">
      <c r="A261" s="58"/>
      <c r="B261" s="58"/>
      <c r="C261" s="31"/>
      <c r="D261" s="31"/>
      <c r="E261" s="31"/>
      <c r="F261" s="4"/>
      <c r="G261" s="4"/>
      <c r="H261" s="4"/>
      <c r="I261" s="4"/>
    </row>
    <row r="262" spans="1:9" hidden="1">
      <c r="A262" s="58" t="s">
        <v>1060</v>
      </c>
      <c r="B262" s="58"/>
      <c r="C262" s="31"/>
      <c r="D262" s="31"/>
      <c r="E262" s="31"/>
      <c r="F262" s="4"/>
      <c r="G262" s="4"/>
      <c r="H262" s="4"/>
      <c r="I262" s="4"/>
    </row>
    <row r="263" spans="1:9" hidden="1">
      <c r="A263" s="58" t="s">
        <v>1061</v>
      </c>
      <c r="B263" s="59"/>
      <c r="C263" s="30"/>
      <c r="D263" s="30"/>
      <c r="E263" s="30"/>
    </row>
    <row r="264" spans="1:9" hidden="1">
      <c r="A264" s="65"/>
      <c r="B264" s="48"/>
      <c r="C264" s="30"/>
      <c r="D264" s="30"/>
      <c r="E264" s="30"/>
    </row>
    <row r="265" spans="1:9" hidden="1">
      <c r="A265" s="58" t="s">
        <v>1062</v>
      </c>
      <c r="B265" s="48"/>
      <c r="C265" s="30"/>
      <c r="D265" s="30"/>
      <c r="E265" s="30"/>
    </row>
    <row r="266" spans="1:9" hidden="1">
      <c r="A266" s="58"/>
      <c r="B266" s="58"/>
      <c r="C266" s="30"/>
      <c r="D266" s="30"/>
      <c r="E266" s="30"/>
    </row>
    <row r="267" spans="1:9" hidden="1">
      <c r="A267" s="65"/>
      <c r="B267" s="48"/>
      <c r="C267" s="30"/>
      <c r="D267" s="30"/>
      <c r="E267" s="30"/>
    </row>
    <row r="268" spans="1:9" hidden="1">
      <c r="A268" s="65"/>
      <c r="B268" s="48"/>
      <c r="C268" s="30"/>
      <c r="D268" s="30"/>
      <c r="E268" s="30"/>
    </row>
    <row r="269" spans="1:9" hidden="1">
      <c r="A269" s="65"/>
      <c r="B269" s="48"/>
      <c r="C269" s="30"/>
      <c r="D269" s="30"/>
      <c r="E269" s="30"/>
    </row>
    <row r="270" spans="1:9" hidden="1">
      <c r="A270" s="65"/>
      <c r="B270" s="48"/>
      <c r="C270" s="30"/>
      <c r="D270" s="30"/>
      <c r="E270" s="30"/>
    </row>
    <row r="271" spans="1:9" hidden="1">
      <c r="A271" s="65"/>
      <c r="B271" s="48"/>
      <c r="C271" s="30"/>
      <c r="D271" s="30"/>
      <c r="E271" s="30"/>
    </row>
    <row r="272" spans="1:9" hidden="1">
      <c r="A272" s="65"/>
      <c r="B272" s="48"/>
      <c r="C272" s="30"/>
      <c r="D272" s="30"/>
      <c r="E272" s="30"/>
    </row>
    <row r="273" spans="1:5" hidden="1">
      <c r="A273" s="65"/>
      <c r="B273" s="48"/>
      <c r="C273" s="30"/>
      <c r="D273" s="30"/>
      <c r="E273" s="30"/>
    </row>
    <row r="274" spans="1:5" hidden="1">
      <c r="A274" s="58"/>
      <c r="B274" s="58"/>
      <c r="C274" s="30"/>
      <c r="D274" s="30"/>
      <c r="E274" s="30"/>
    </row>
    <row r="275" spans="1:5" hidden="1">
      <c r="A275" s="65"/>
      <c r="B275" s="48"/>
      <c r="C275" s="30"/>
      <c r="D275" s="30"/>
      <c r="E275" s="30"/>
    </row>
    <row r="276" spans="1:5" hidden="1">
      <c r="A276" s="65"/>
      <c r="B276" s="48"/>
      <c r="C276" s="30"/>
      <c r="D276" s="30"/>
      <c r="E276" s="30"/>
    </row>
    <row r="277" spans="1:5" hidden="1">
      <c r="A277" s="58"/>
      <c r="B277" s="58"/>
      <c r="C277" s="30"/>
      <c r="D277" s="30"/>
      <c r="E277" s="30"/>
    </row>
    <row r="278" spans="1:5" hidden="1">
      <c r="A278" s="65"/>
      <c r="B278" s="48"/>
      <c r="C278" s="30"/>
      <c r="D278" s="30"/>
      <c r="E278" s="30"/>
    </row>
    <row r="279" spans="1:5" hidden="1">
      <c r="A279" s="65"/>
      <c r="B279" s="48"/>
      <c r="C279" s="30"/>
      <c r="D279" s="30"/>
      <c r="E279" s="30"/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508fc52-4eb4-465a-a8b7-4809aae2d6d6">
      <UserInfo>
        <DisplayName>Sergio Silva</DisplayName>
        <AccountId>23</AccountId>
        <AccountType/>
      </UserInfo>
      <UserInfo>
        <DisplayName>Eduardo Vieira</DisplayName>
        <AccountId>15</AccountId>
        <AccountType/>
      </UserInfo>
      <UserInfo>
        <DisplayName>Haddock Petillo</DisplayName>
        <AccountId>21</AccountId>
        <AccountType/>
      </UserInfo>
      <UserInfo>
        <DisplayName>Zemaria Pinto</DisplayName>
        <AccountId>11</AccountId>
        <AccountType/>
      </UserInfo>
      <UserInfo>
        <DisplayName>Cintia Rejane Gouveia Nunes</DisplayName>
        <AccountId>17</AccountId>
        <AccountType/>
      </UserInfo>
      <UserInfo>
        <DisplayName>PEDRO ALEXANDRE SILVA FILHO</DisplayName>
        <AccountId>22</AccountId>
        <AccountType/>
      </UserInfo>
      <UserInfo>
        <DisplayName>Jéssica Santos Roque</DisplayName>
        <AccountId>36</AccountId>
        <AccountType/>
      </UserInfo>
      <UserInfo>
        <DisplayName>Antonio César Vieira de Lima</DisplayName>
        <AccountId>38</AccountId>
        <AccountType/>
      </UserInfo>
      <UserInfo>
        <DisplayName>Aristobulo Angelim de Araújo</DisplayName>
        <AccountId>39</AccountId>
        <AccountType/>
      </UserInfo>
      <UserInfo>
        <DisplayName>Ulysses Araujo</DisplayName>
        <AccountId>33</AccountId>
        <AccountType/>
      </UserInfo>
      <UserInfo>
        <DisplayName>Bruno dos Santos Ferreira</DisplayName>
        <AccountId>41</AccountId>
        <AccountType/>
      </UserInfo>
      <UserInfo>
        <DisplayName>Salim David</DisplayName>
        <AccountId>42</AccountId>
        <AccountType/>
      </UserInfo>
      <UserInfo>
        <DisplayName>Alessandro  Moreira Silva</DisplayName>
        <AccountId>43</AccountId>
        <AccountType/>
      </UserInfo>
      <UserInfo>
        <DisplayName>Clodoaldo Ferreira dos Santos Junior</DisplayName>
        <AccountId>44</AccountId>
        <AccountType/>
      </UserInfo>
      <UserInfo>
        <DisplayName>Luiz Otavio  da Silva</DisplayName>
        <AccountId>45</AccountId>
        <AccountType/>
      </UserInfo>
      <UserInfo>
        <DisplayName>Lincoln Nunes da Silva</DisplayName>
        <AccountId>46</AccountId>
        <AccountType/>
      </UserInfo>
      <UserInfo>
        <DisplayName>Presidencia Prodam</DisplayName>
        <AccountId>47</AccountId>
        <AccountType/>
      </UserInfo>
      <UserInfo>
        <DisplayName>Danielle Costa de Souza</DisplayName>
        <AccountId>48</AccountId>
        <AccountType/>
      </UserInfo>
      <UserInfo>
        <DisplayName>Maurício Mizobe</DisplayName>
        <AccountId>49</AccountId>
        <AccountType/>
      </UserInfo>
      <UserInfo>
        <DisplayName>ROSANGELA DE CARVALHO NUNES</DisplayName>
        <AccountId>51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1FEFFE3C03664BACFCF4221B4BE58F" ma:contentTypeVersion="5" ma:contentTypeDescription="Crie um novo documento." ma:contentTypeScope="" ma:versionID="7237f4c84fbfe81adea498a4b0dea49f">
  <xsd:schema xmlns:xsd="http://www.w3.org/2001/XMLSchema" xmlns:xs="http://www.w3.org/2001/XMLSchema" xmlns:p="http://schemas.microsoft.com/office/2006/metadata/properties" xmlns:ns2="ffca6a00-d8a2-4171-8fee-795f4957ab0c" xmlns:ns3="4508fc52-4eb4-465a-a8b7-4809aae2d6d6" targetNamespace="http://schemas.microsoft.com/office/2006/metadata/properties" ma:root="true" ma:fieldsID="da21cea4a0386372bf2603288113b1dd" ns2:_="" ns3:_="">
    <xsd:import namespace="ffca6a00-d8a2-4171-8fee-795f4957ab0c"/>
    <xsd:import namespace="4508fc52-4eb4-465a-a8b7-4809aae2d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a6a00-d8a2-4171-8fee-795f4957a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8fc52-4eb4-465a-a8b7-4809aae2d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6EE6D6-7DCD-4561-86B9-490D458E83DF}"/>
</file>

<file path=customXml/itemProps2.xml><?xml version="1.0" encoding="utf-8"?>
<ds:datastoreItem xmlns:ds="http://schemas.openxmlformats.org/officeDocument/2006/customXml" ds:itemID="{EC25F4EE-96F4-4414-BE80-A6C72AD5EC3E}"/>
</file>

<file path=customXml/itemProps3.xml><?xml version="1.0" encoding="utf-8"?>
<ds:datastoreItem xmlns:ds="http://schemas.openxmlformats.org/officeDocument/2006/customXml" ds:itemID="{0E0F7FFF-3B20-437D-84BC-1BA587C91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"Cristianne Martins" &lt;cristianne@prodam.am.gov.br&gt;</dc:creator>
  <cp:keywords/>
  <dc:description/>
  <cp:lastModifiedBy>Usuário Convidado</cp:lastModifiedBy>
  <cp:revision/>
  <dcterms:created xsi:type="dcterms:W3CDTF">2016-01-15T15:02:25Z</dcterms:created>
  <dcterms:modified xsi:type="dcterms:W3CDTF">2026-01-13T18:44:09Z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0x010100C81FEFFE3C03664BACFCF4221B4BE58F</vt:lpwstr>
  </property>
</Properties>
</file>